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KALKULATOR" sheetId="2" state="visible" r:id="rId2"/>
    <sheet xmlns:r="http://schemas.openxmlformats.org/officeDocument/2006/relationships" name="AMORTISASI" sheetId="3" state="visible" r:id="rId3"/>
    <sheet xmlns:r="http://schemas.openxmlformats.org/officeDocument/2006/relationships" name="COMPARIS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Rp&quot;#,##0.00&quot; jt&quot;"/>
    <numFmt numFmtId="165" formatCode="0.0000%"/>
    <numFmt numFmtId="166" formatCode="0.000%"/>
    <numFmt numFmtId="167" formatCode="0.0000"/>
  </numFmts>
  <fonts count="8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  <font>
      <name val="Calibri"/>
      <b val="1"/>
      <color rgb="001F4E79"/>
      <sz val="12"/>
    </font>
  </fonts>
  <fills count="7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C8E6C9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5" fontId="6" fillId="0" borderId="1" applyAlignment="1" pivotButton="0" quotePrefix="0" xfId="0">
      <alignment horizontal="right" vertical="center"/>
    </xf>
    <xf numFmtId="1" fontId="6" fillId="0" borderId="1" applyAlignment="1" pivotButton="0" quotePrefix="0" xfId="0">
      <alignment horizontal="right" vertical="center"/>
    </xf>
    <xf numFmtId="1" fontId="6" fillId="0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 wrapText="1"/>
    </xf>
    <xf numFmtId="164" fontId="7" fillId="0" borderId="1" applyAlignment="1" pivotButton="0" quotePrefix="0" xfId="0">
      <alignment horizontal="right" vertical="center"/>
    </xf>
    <xf numFmtId="165" fontId="7" fillId="0" borderId="1" applyAlignment="1" pivotButton="0" quotePrefix="0" xfId="0">
      <alignment horizontal="right" vertical="center"/>
    </xf>
    <xf numFmtId="2" fontId="7" fillId="0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167" fontId="7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1" fontId="4" fillId="0" borderId="1" applyAlignment="1" pivotButton="0" quotePrefix="0" xfId="0">
      <alignment horizontal="right" vertical="center"/>
    </xf>
    <xf numFmtId="1" fontId="5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166" fontId="6" fillId="0" borderId="1" applyAlignment="1" pivotButton="0" quotePrefix="0" xfId="0">
      <alignment horizontal="right" vertical="center"/>
    </xf>
    <xf numFmtId="166" fontId="5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right" vertical="center"/>
    </xf>
    <xf numFmtId="166" fontId="4" fillId="3" borderId="1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  <xf numFmtId="166" fontId="4" fillId="0" borderId="1" applyAlignment="1" pivotButton="0" quotePrefix="0" xfId="0">
      <alignment horizontal="right" vertical="center"/>
    </xf>
    <xf numFmtId="166" fontId="7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1">
    <dxf>
      <fill>
        <patternFill patternType="solid">
          <fgColor rgb="00FFE08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80" customWidth="1" min="3" max="3"/>
  </cols>
  <sheetData>
    <row r="2" ht="30" customHeight="1">
      <c r="B2" s="1" t="inlineStr">
        <is>
          <t>KALKULATOR TIME VALUE OF MONEY — 5 VARIABEL</t>
        </is>
      </c>
    </row>
    <row r="3">
      <c r="B3" s="2" t="inlineStr">
        <is>
          <t>Input 4 variabel, solve 1. Formula hidup: =PV(), =FV(), =PMT(), =RATE(), =NPER().</t>
        </is>
      </c>
    </row>
    <row r="5">
      <c r="B5" s="3" t="inlineStr">
        <is>
          <t>CARA PAKAI:</t>
        </is>
      </c>
    </row>
    <row r="6">
      <c r="B6" s="4" t="inlineStr">
        <is>
          <t>1. KALKULATOR</t>
        </is>
      </c>
      <c r="C6" s="5" t="inlineStr">
        <is>
          <t>Isi 4 dari 5 sel BIRU (PV, FV, PMT, r, n). Sel yang ke-5 biarkan / abaikan — baris SOLVE-nya otomatis memberi jawaban.</t>
        </is>
      </c>
    </row>
    <row r="7">
      <c r="B7" s="4" t="inlineStr">
        <is>
          <t>2. Pilih SOLVED</t>
        </is>
      </c>
      <c r="C7" s="5" t="inlineStr">
        <is>
          <t>Di sel 'VARIABEL YANG DICARI', pilih mana yang Anda cari (FV/PV/PMT/RATE/NPER). Baris itu di-highlight kuning.</t>
        </is>
      </c>
    </row>
    <row r="8">
      <c r="B8" s="4" t="inlineStr">
        <is>
          <t>3. AMORTISASI</t>
        </is>
      </c>
      <c r="C8" s="5" t="inlineStr">
        <is>
          <t>Pelajari pemecahan tiap cicilan jadi BUNGA vs POKOK. Default: KPR Rp 640 jt, tenor 15 tahun, 8,5% APY bulanan.</t>
        </is>
      </c>
    </row>
    <row r="9">
      <c r="B9" s="4" t="inlineStr">
        <is>
          <t>4. COMPARISON</t>
        </is>
      </c>
      <c r="C9" s="5" t="inlineStr">
        <is>
          <t>Bandingkan compounding tahunan vs semi-tahunan vs bulanan vs kontinu. Plus konverter nominal → EAR.</t>
        </is>
      </c>
    </row>
    <row r="11">
      <c r="B11" s="6" t="inlineStr">
        <is>
          <t>LEGENDA WARNA:</t>
        </is>
      </c>
    </row>
    <row r="12">
      <c r="B12" s="7" t="inlineStr">
        <is>
          <t>Input manual</t>
        </is>
      </c>
      <c r="C12" s="5" t="inlineStr">
        <is>
          <t>Sel BIRU = Anda ubah. Contoh: pokok pinjaman, suku bunga, jumlah periode.</t>
        </is>
      </c>
    </row>
    <row r="13">
      <c r="B13" s="5" t="inlineStr">
        <is>
          <t>Formula hidup</t>
        </is>
      </c>
      <c r="C13" s="5" t="inlineStr">
        <is>
          <t>Sel HITAM = dihitung otomatis. Jangan diketik ulang.</t>
        </is>
      </c>
    </row>
    <row r="14">
      <c r="B14" s="8" t="inlineStr">
        <is>
          <t>Header / sub</t>
        </is>
      </c>
      <c r="C14" s="5" t="inlineStr">
        <is>
          <t>Sel hijau band = sub-judul; sel kuning = jawaban/total; amber = baris SOLVE aktif.</t>
        </is>
      </c>
    </row>
    <row r="16">
      <c r="B16" s="6" t="inlineStr">
        <is>
          <t>KONVENSI PENTING:</t>
        </is>
      </c>
    </row>
    <row r="17">
      <c r="B17" s="9" t="inlineStr">
        <is>
          <t>• Satuan MONETARI dalam Rp juta. Rp 640 = Rp 640 juta. Rp 6,30 = Rp 6,30 juta.</t>
        </is>
      </c>
    </row>
    <row r="18">
      <c r="B18" s="9" t="inlineStr">
        <is>
          <t>• r = tingkat bunga PER PERIODE (satu periode = satu interval PMT). Kalau cicilan bulanan, r = APY/12.</t>
        </is>
      </c>
    </row>
    <row r="19">
      <c r="B19" s="9" t="inlineStr">
        <is>
          <t>• n = banyaknya PERIODE (bukan tahun). KPR 15 tahun bulanan → n = 180.</t>
        </is>
      </c>
    </row>
    <row r="20">
      <c r="B20" s="9" t="inlineStr">
        <is>
          <t>• Konvensi TANDA Excel: arus KELUAR (Anda bayar/setor) = NEGATIF. KPR +640 masuk kantong, cicilan −PMT keluar.</t>
        </is>
      </c>
    </row>
    <row r="21">
      <c r="B21" s="9" t="inlineStr">
        <is>
          <t>• type: 0 = pembayaran AKHIR periode (ordinary annuity, default); 1 = AWAL periode (annuity due).</t>
        </is>
      </c>
    </row>
    <row r="22">
      <c r="B22" s="9" t="inlineStr">
        <is>
          <t>• Hasil RATE dari =RATE() adalah per periode. Kalikan dengan periode/tahun untuk dapat APY.</t>
        </is>
      </c>
    </row>
    <row r="24">
      <c r="B24" s="6" t="inlineStr">
        <is>
          <t>CONTOH DEFAULT (KALKULATOR): KPR Rp 640 jt, tenor 15 tahun, APY 8,5% bulanan → cicilan ≈ Rp 6,30 jt/bulan.</t>
        </is>
      </c>
    </row>
    <row r="25">
      <c r="B25" s="10" t="inlineStr">
        <is>
          <t>Verifikasi AMORTISASI: total bunga ≈ Rp 494 jt; total bayar ≈ Rp 1.134 jt.</t>
        </is>
      </c>
    </row>
  </sheetData>
  <mergeCells count="10">
    <mergeCell ref="B21:C21"/>
    <mergeCell ref="B2:C2"/>
    <mergeCell ref="B24:C24"/>
    <mergeCell ref="B25:C25"/>
    <mergeCell ref="B3:C3"/>
    <mergeCell ref="B19:C19"/>
    <mergeCell ref="B20:C20"/>
    <mergeCell ref="B22:C22"/>
    <mergeCell ref="B17:C17"/>
    <mergeCell ref="B18:C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3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4" customWidth="1" min="2" max="2"/>
    <col width="18" customWidth="1" min="3" max="3"/>
    <col width="14" customWidth="1" min="4" max="4"/>
    <col width="55" customWidth="1" min="5" max="5"/>
  </cols>
  <sheetData>
    <row r="2" ht="28" customHeight="1">
      <c r="B2" s="1" t="inlineStr">
        <is>
          <t>MESIN TVM — INPUT 4, SOLVE 1</t>
        </is>
      </c>
    </row>
    <row r="3">
      <c r="B3" s="2" t="inlineStr">
        <is>
          <t>Isi 4 sel BIRU di bawah. Baris SOLVE untuk variabel kosong = jawaban Anda. (Rp juta · r per periode)</t>
        </is>
      </c>
    </row>
    <row r="5">
      <c r="B5" s="8" t="inlineStr">
        <is>
          <t>INPUT</t>
        </is>
      </c>
      <c r="C5" s="8" t="inlineStr">
        <is>
          <t>Nilai</t>
        </is>
      </c>
      <c r="D5" s="8" t="inlineStr">
        <is>
          <t>Satuan</t>
        </is>
      </c>
      <c r="E5" s="8" t="inlineStr">
        <is>
          <t>Catatan</t>
        </is>
      </c>
    </row>
    <row r="6">
      <c r="B6" s="11" t="inlineStr">
        <is>
          <t>PV  (Present Value)</t>
        </is>
      </c>
      <c r="C6" s="12" t="n">
        <v>640</v>
      </c>
      <c r="D6" s="13" t="inlineStr">
        <is>
          <t>Rp jt</t>
        </is>
      </c>
      <c r="E6" s="14" t="inlineStr">
        <is>
          <t>Nilai sekarang. Loan pokok / harga beli / setoran awal.</t>
        </is>
      </c>
    </row>
    <row r="7">
      <c r="B7" s="11" t="inlineStr">
        <is>
          <t>FV  (Future Value)</t>
        </is>
      </c>
      <c r="C7" s="12" t="n">
        <v>0</v>
      </c>
      <c r="D7" s="13" t="inlineStr">
        <is>
          <t>Rp jt</t>
        </is>
      </c>
      <c r="E7" s="14" t="inlineStr">
        <is>
          <t>Nilai di akhir periode n. Sisa pinjaman / target tabungan.</t>
        </is>
      </c>
    </row>
    <row r="8">
      <c r="B8" s="11" t="inlineStr">
        <is>
          <t>PMT (Payment/period)</t>
        </is>
      </c>
      <c r="C8" s="12" t="n">
        <v>-6.2997</v>
      </c>
      <c r="D8" s="13" t="inlineStr">
        <is>
          <t>Rp jt</t>
        </is>
      </c>
      <c r="E8" s="14" t="inlineStr">
        <is>
          <t>Arus tetap tiap periode. Cicilan / setoran. NEGATIF = keluar.</t>
        </is>
      </c>
    </row>
    <row r="9">
      <c r="B9" s="11" t="inlineStr">
        <is>
          <t>r   (rate / period)</t>
        </is>
      </c>
      <c r="C9" s="15" t="n">
        <v>0.007083333333333334</v>
      </c>
      <c r="D9" s="13" t="inlineStr">
        <is>
          <t>%</t>
        </is>
      </c>
      <c r="E9" s="14" t="inlineStr">
        <is>
          <t>Bunga PER PERIODE. Bulanan = APY/12.</t>
        </is>
      </c>
    </row>
    <row r="10">
      <c r="B10" s="11" t="inlineStr">
        <is>
          <t>n   (jumlah periode)</t>
        </is>
      </c>
      <c r="C10" s="16" t="n">
        <v>180</v>
      </c>
      <c r="D10" s="13" t="inlineStr">
        <is>
          <t>periode</t>
        </is>
      </c>
      <c r="E10" s="14" t="inlineStr">
        <is>
          <t>Banyak periode. Tenor thn × periode/thn.</t>
        </is>
      </c>
    </row>
    <row r="11">
      <c r="B11" s="11" t="inlineStr">
        <is>
          <t>type (0=akhir, 1=awal)</t>
        </is>
      </c>
      <c r="C11" s="17" t="n">
        <v>0</v>
      </c>
      <c r="D11" s="13" t="inlineStr">
        <is>
          <t>0/1</t>
        </is>
      </c>
      <c r="E11" s="14" t="inlineStr">
        <is>
          <t>Ordinary annuity (0) vs annuity due (1).</t>
        </is>
      </c>
    </row>
    <row r="12">
      <c r="B12" s="11" t="inlineStr">
        <is>
          <t>periode per tahun</t>
        </is>
      </c>
      <c r="C12" s="17" t="n">
        <v>12</v>
      </c>
      <c r="D12" s="13" t="inlineStr">
        <is>
          <t>m</t>
        </is>
      </c>
      <c r="E12" s="14" t="inlineStr">
        <is>
          <t>12=bulanan, 4=triwulanan, 2=semi, 1=tahunan. Hanya untuk konversi APY.</t>
        </is>
      </c>
    </row>
    <row r="13">
      <c r="B13" s="4" t="inlineStr">
        <is>
          <t>→ EAR / APY (info)</t>
        </is>
      </c>
      <c r="C13" s="18">
        <f>(1+C9)^C12-1</f>
        <v/>
      </c>
      <c r="D13" s="19" t="inlineStr">
        <is>
          <t>%/thn</t>
        </is>
      </c>
      <c r="E13" s="20" t="inlineStr">
        <is>
          <t>Effective annual rate dari r per periode × periode/thn.</t>
        </is>
      </c>
    </row>
    <row r="15">
      <c r="B15" s="21" t="inlineStr">
        <is>
          <t>VARIABEL YANG DICARI:</t>
        </is>
      </c>
      <c r="C15" s="22" t="inlineStr">
        <is>
          <t>PMT</t>
        </is>
      </c>
      <c r="D15" s="23" t="inlineStr">
        <is>
          <t>← pilih</t>
        </is>
      </c>
      <c r="E15" s="24" t="inlineStr">
        <is>
          <t>Pilih salah satu: FV, PV, PMT, RATE, NPER. Baris itu di-highlight.</t>
        </is>
      </c>
    </row>
    <row r="17" ht="22" customHeight="1">
      <c r="B17" s="8" t="inlineStr">
        <is>
          <t>SOLVE — 5 baris, masing-masing menghitung 1 variabel</t>
        </is>
      </c>
      <c r="C17" s="25" t="n"/>
      <c r="D17" s="25" t="n"/>
      <c r="E17" s="26" t="n"/>
    </row>
    <row r="18">
      <c r="B18" s="27" t="inlineStr">
        <is>
          <t>Variabel</t>
        </is>
      </c>
      <c r="C18" s="27" t="inlineStr">
        <is>
          <t>Hasil</t>
        </is>
      </c>
      <c r="D18" s="27" t="inlineStr">
        <is>
          <t>Satuan</t>
        </is>
      </c>
      <c r="E18" s="27" t="inlineStr">
        <is>
          <t>Formula Excel</t>
        </is>
      </c>
    </row>
    <row r="19">
      <c r="B19" s="11" t="inlineStr">
        <is>
          <t>1. FV  (Future Value)</t>
        </is>
      </c>
      <c r="C19" s="28">
        <f>FV(C9,C10,C8,C6,C11)</f>
        <v/>
      </c>
      <c r="D19" s="13" t="inlineStr">
        <is>
          <t>Rp jt</t>
        </is>
      </c>
      <c r="E19" s="14" t="inlineStr">
        <is>
          <t>'= FV(r, n, PMT, PV, type)</t>
        </is>
      </c>
    </row>
    <row r="20">
      <c r="B20" s="11" t="inlineStr">
        <is>
          <t>2. PV  (Present Value)</t>
        </is>
      </c>
      <c r="C20" s="28">
        <f>PV(C9,C10,C8,C7,C11)</f>
        <v/>
      </c>
      <c r="D20" s="13" t="inlineStr">
        <is>
          <t>Rp jt</t>
        </is>
      </c>
      <c r="E20" s="14" t="inlineStr">
        <is>
          <t>'= PV(r, n, PMT, FV, type)</t>
        </is>
      </c>
    </row>
    <row r="21">
      <c r="B21" s="11" t="inlineStr">
        <is>
          <t>3. PMT (Payment/period)</t>
        </is>
      </c>
      <c r="C21" s="28">
        <f>PMT(C9,C10,C6,C7,C11)</f>
        <v/>
      </c>
      <c r="D21" s="13" t="inlineStr">
        <is>
          <t>Rp jt</t>
        </is>
      </c>
      <c r="E21" s="14" t="inlineStr">
        <is>
          <t>'= PMT(r, n, PV, FV, type)</t>
        </is>
      </c>
    </row>
    <row r="22">
      <c r="B22" s="11" t="inlineStr">
        <is>
          <t>4. RATE (per periode)</t>
        </is>
      </c>
      <c r="C22" s="29">
        <f>RATE(C10,C8,C6,C7,C11)</f>
        <v/>
      </c>
      <c r="D22" s="13" t="inlineStr">
        <is>
          <t>%</t>
        </is>
      </c>
      <c r="E22" s="14" t="inlineStr">
        <is>
          <t>'= RATE(n, PMT, PV, FV, type)   ← kalikan periode/thn untuk APY</t>
        </is>
      </c>
    </row>
    <row r="23">
      <c r="B23" s="11" t="inlineStr">
        <is>
          <t>5. NPER (jumlah periode)</t>
        </is>
      </c>
      <c r="C23" s="30">
        <f>NPER(C9,C8,C6,C7,C11)</f>
        <v/>
      </c>
      <c r="D23" s="13" t="inlineStr">
        <is>
          <t>periode</t>
        </is>
      </c>
      <c r="E23" s="14" t="inlineStr">
        <is>
          <t>'= NPER(r, PMT, PV, FV, type)</t>
        </is>
      </c>
    </row>
    <row r="25">
      <c r="B25" s="8" t="inlineStr">
        <is>
          <t>JAWABAN (mengikuti pilihan di C15):</t>
        </is>
      </c>
      <c r="C25" s="25" t="n"/>
      <c r="D25" s="25" t="n"/>
      <c r="E25" s="26" t="n"/>
    </row>
    <row r="26">
      <c r="B26" s="4" t="inlineStr">
        <is>
          <t>Variabel dicari</t>
        </is>
      </c>
      <c r="C26" s="31">
        <f>$C$15</f>
        <v/>
      </c>
      <c r="D26" s="19" t="inlineStr">
        <is>
          <t>← FV / PV / PMT / RATE / NPER</t>
        </is>
      </c>
    </row>
    <row r="27">
      <c r="B27" s="21" t="inlineStr">
        <is>
          <t>Nilai hasil</t>
        </is>
      </c>
      <c r="C27" s="32">
        <f>CHOOSE(MATCH($C$15,{"FV";"PV";"PMT";"RATE";"NPER"},0),C19,C20,C21,C22,C23)</f>
        <v/>
      </c>
      <c r="D27" s="23" t="inlineStr">
        <is>
          <t>?</t>
        </is>
      </c>
      <c r="E27" s="24" t="inlineStr">
        <is>
          <t>Format auto: Rp jt untuk FV/PV/PMT; % untuk RATE; periode untuk NPER.</t>
        </is>
      </c>
    </row>
    <row r="29">
      <c r="B29" s="6" t="inlineStr">
        <is>
          <t>VERIFIKASI KONSISTENSI INPUT:</t>
        </is>
      </c>
    </row>
    <row r="30">
      <c r="B30" s="5" t="inlineStr">
        <is>
          <t xml:space="preserve">  Apakah 4 input konsisten dengan input ke-5?</t>
        </is>
      </c>
      <c r="C30" s="33">
        <f>IF(AND(ABS(C19-C7)&lt;0.01,ABS(C20-C6)&lt;0.01,ABS(C21-C8)&lt;0.01),"✓ SEMUA KONSISTEN","⚠ ada input yang dipakai sebagai SOLVE (normal)")</f>
        <v/>
      </c>
      <c r="D30" s="25" t="n"/>
      <c r="E30" s="26" t="n"/>
    </row>
  </sheetData>
  <mergeCells count="6">
    <mergeCell ref="B17:E17"/>
    <mergeCell ref="B25:E25"/>
    <mergeCell ref="B3:E3"/>
    <mergeCell ref="B2:E2"/>
    <mergeCell ref="C30:E30"/>
    <mergeCell ref="D26:E26"/>
  </mergeCells>
  <conditionalFormatting sqref="B19:E19">
    <cfRule type="expression" priority="1" dxfId="0">
      <formula>$C$15="FV"</formula>
    </cfRule>
  </conditionalFormatting>
  <conditionalFormatting sqref="B20:E20">
    <cfRule type="expression" priority="2" dxfId="0">
      <formula>$C$15="PV"</formula>
    </cfRule>
  </conditionalFormatting>
  <conditionalFormatting sqref="B21:E21">
    <cfRule type="expression" priority="3" dxfId="0">
      <formula>$C$15="PMT"</formula>
    </cfRule>
  </conditionalFormatting>
  <conditionalFormatting sqref="B22:E22">
    <cfRule type="expression" priority="4" dxfId="0">
      <formula>$C$15="RATE"</formula>
    </cfRule>
  </conditionalFormatting>
  <conditionalFormatting sqref="B23:E23">
    <cfRule type="expression" priority="5" dxfId="0">
      <formula>$C$15="NPER"</formula>
    </cfRule>
  </conditionalFormatting>
  <dataValidations count="1">
    <dataValidation sqref="C15" showDropDown="0" showInputMessage="0" showErrorMessage="0" allowBlank="0" type="list">
      <formula1>"FV,PV,PMT,RATE,NPER"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412"/>
  <sheetViews>
    <sheetView showGridLines="0" workbookViewId="0">
      <pane xSplit="1" ySplit="8" topLeftCell="B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9" customWidth="1" min="2" max="2"/>
    <col width="16" customWidth="1" min="3" max="3"/>
    <col width="14" customWidth="1" min="4" max="4"/>
    <col width="14" customWidth="1" min="5" max="5"/>
    <col width="14" customWidth="1" min="6" max="6"/>
    <col width="16" customWidth="1" min="7" max="7"/>
  </cols>
  <sheetData>
    <row r="2" ht="28" customHeight="1">
      <c r="B2" s="1" t="inlineStr">
        <is>
          <t>TABEL AMORTISASI — KPR / PINJAMAN</t>
        </is>
      </c>
    </row>
    <row r="3">
      <c r="B3" s="2" t="inlineStr">
        <is>
          <t>Default: KPR Rp 640 jt · tenor 15 tahun (180 bln) · APY 8,5% bulanan. Ubah di KALKULATOR → tabel ikut.</t>
        </is>
      </c>
    </row>
    <row r="5">
      <c r="B5" s="11" t="inlineStr">
        <is>
          <t>Pokok pinjaman (PV)</t>
        </is>
      </c>
      <c r="C5" s="34">
        <f>KALKULATOR!C6</f>
        <v/>
      </c>
      <c r="D5" s="11" t="inlineStr">
        <is>
          <t>Cicilan (PMT)</t>
        </is>
      </c>
      <c r="E5" s="34">
        <f>KALKULATOR!C21</f>
        <v/>
      </c>
      <c r="F5" s="14" t="inlineStr">
        <is>
          <t>Cicilan dihitung dari input KALKULATOR</t>
        </is>
      </c>
    </row>
    <row r="6">
      <c r="B6" s="11" t="inlineStr">
        <is>
          <t>Bunga/periode (r)</t>
        </is>
      </c>
      <c r="C6" s="35">
        <f>KALKULATOR!C9</f>
        <v/>
      </c>
      <c r="D6" s="11" t="inlineStr">
        <is>
          <t>Jumlah periode (n)</t>
        </is>
      </c>
      <c r="E6" s="36">
        <f>KALKULATOR!C10</f>
        <v/>
      </c>
      <c r="F6" s="14" t="inlineStr">
        <is>
          <t>n baris di bawah = min(n input, 400) untuk batas tampilan</t>
        </is>
      </c>
    </row>
    <row r="8" ht="22" customHeight="1">
      <c r="B8" s="8" t="inlineStr">
        <is>
          <t>Periode</t>
        </is>
      </c>
      <c r="C8" s="8" t="inlineStr">
        <is>
          <t>Saldo Awal</t>
        </is>
      </c>
      <c r="D8" s="8" t="inlineStr">
        <is>
          <t>Cicilan</t>
        </is>
      </c>
      <c r="E8" s="8" t="inlineStr">
        <is>
          <t>Bunga</t>
        </is>
      </c>
      <c r="F8" s="8" t="inlineStr">
        <is>
          <t>Pokok</t>
        </is>
      </c>
      <c r="G8" s="8" t="inlineStr">
        <is>
          <t>Saldo Akhir</t>
        </is>
      </c>
    </row>
    <row r="9">
      <c r="B9" s="37">
        <f>IF(1&lt;=KALKULATOR!$C$10,1,"")</f>
        <v/>
      </c>
      <c r="C9" s="38">
        <f>IF(1&lt;=KALKULATOR!$C$10,KALKULATOR!$C$6,"")</f>
        <v/>
      </c>
      <c r="D9" s="38">
        <f>IF(1&lt;=KALKULATOR!$C$10,KALKULATOR!$C$21,"")</f>
        <v/>
      </c>
      <c r="E9" s="38">
        <f>IF(1&lt;=KALKULATOR!$C$10,-C9*KALKULATOR!$C$9,"")</f>
        <v/>
      </c>
      <c r="F9" s="38">
        <f>IF(1&lt;=KALKULATOR!$C$10,D9-E9,"")</f>
        <v/>
      </c>
      <c r="G9" s="38">
        <f>IF(1&lt;=KALKULATOR!$C$10,C9+F9,"")</f>
        <v/>
      </c>
    </row>
    <row r="10">
      <c r="B10" s="37">
        <f>IF(2&lt;=KALKULATOR!$C$10,2,"")</f>
        <v/>
      </c>
      <c r="C10" s="38">
        <f>IF(2&lt;=KALKULATOR!$C$10,G9,"")</f>
        <v/>
      </c>
      <c r="D10" s="38">
        <f>IF(2&lt;=KALKULATOR!$C$10,KALKULATOR!$C$21,"")</f>
        <v/>
      </c>
      <c r="E10" s="38">
        <f>IF(2&lt;=KALKULATOR!$C$10,-C10*KALKULATOR!$C$9,"")</f>
        <v/>
      </c>
      <c r="F10" s="38">
        <f>IF(2&lt;=KALKULATOR!$C$10,D10-E10,"")</f>
        <v/>
      </c>
      <c r="G10" s="38">
        <f>IF(2&lt;=KALKULATOR!$C$10,C10+F10,"")</f>
        <v/>
      </c>
    </row>
    <row r="11">
      <c r="B11" s="37">
        <f>IF(3&lt;=KALKULATOR!$C$10,3,"")</f>
        <v/>
      </c>
      <c r="C11" s="38">
        <f>IF(3&lt;=KALKULATOR!$C$10,G10,"")</f>
        <v/>
      </c>
      <c r="D11" s="38">
        <f>IF(3&lt;=KALKULATOR!$C$10,KALKULATOR!$C$21,"")</f>
        <v/>
      </c>
      <c r="E11" s="38">
        <f>IF(3&lt;=KALKULATOR!$C$10,-C11*KALKULATOR!$C$9,"")</f>
        <v/>
      </c>
      <c r="F11" s="38">
        <f>IF(3&lt;=KALKULATOR!$C$10,D11-E11,"")</f>
        <v/>
      </c>
      <c r="G11" s="38">
        <f>IF(3&lt;=KALKULATOR!$C$10,C11+F11,"")</f>
        <v/>
      </c>
    </row>
    <row r="12">
      <c r="B12" s="37">
        <f>IF(4&lt;=KALKULATOR!$C$10,4,"")</f>
        <v/>
      </c>
      <c r="C12" s="38">
        <f>IF(4&lt;=KALKULATOR!$C$10,G11,"")</f>
        <v/>
      </c>
      <c r="D12" s="38">
        <f>IF(4&lt;=KALKULATOR!$C$10,KALKULATOR!$C$21,"")</f>
        <v/>
      </c>
      <c r="E12" s="38">
        <f>IF(4&lt;=KALKULATOR!$C$10,-C12*KALKULATOR!$C$9,"")</f>
        <v/>
      </c>
      <c r="F12" s="38">
        <f>IF(4&lt;=KALKULATOR!$C$10,D12-E12,"")</f>
        <v/>
      </c>
      <c r="G12" s="38">
        <f>IF(4&lt;=KALKULATOR!$C$10,C12+F12,"")</f>
        <v/>
      </c>
    </row>
    <row r="13">
      <c r="B13" s="37">
        <f>IF(5&lt;=KALKULATOR!$C$10,5,"")</f>
        <v/>
      </c>
      <c r="C13" s="38">
        <f>IF(5&lt;=KALKULATOR!$C$10,G12,"")</f>
        <v/>
      </c>
      <c r="D13" s="38">
        <f>IF(5&lt;=KALKULATOR!$C$10,KALKULATOR!$C$21,"")</f>
        <v/>
      </c>
      <c r="E13" s="38">
        <f>IF(5&lt;=KALKULATOR!$C$10,-C13*KALKULATOR!$C$9,"")</f>
        <v/>
      </c>
      <c r="F13" s="38">
        <f>IF(5&lt;=KALKULATOR!$C$10,D13-E13,"")</f>
        <v/>
      </c>
      <c r="G13" s="38">
        <f>IF(5&lt;=KALKULATOR!$C$10,C13+F13,"")</f>
        <v/>
      </c>
    </row>
    <row r="14">
      <c r="B14" s="37">
        <f>IF(6&lt;=KALKULATOR!$C$10,6,"")</f>
        <v/>
      </c>
      <c r="C14" s="38">
        <f>IF(6&lt;=KALKULATOR!$C$10,G13,"")</f>
        <v/>
      </c>
      <c r="D14" s="38">
        <f>IF(6&lt;=KALKULATOR!$C$10,KALKULATOR!$C$21,"")</f>
        <v/>
      </c>
      <c r="E14" s="38">
        <f>IF(6&lt;=KALKULATOR!$C$10,-C14*KALKULATOR!$C$9,"")</f>
        <v/>
      </c>
      <c r="F14" s="38">
        <f>IF(6&lt;=KALKULATOR!$C$10,D14-E14,"")</f>
        <v/>
      </c>
      <c r="G14" s="38">
        <f>IF(6&lt;=KALKULATOR!$C$10,C14+F14,"")</f>
        <v/>
      </c>
    </row>
    <row r="15">
      <c r="B15" s="37">
        <f>IF(7&lt;=KALKULATOR!$C$10,7,"")</f>
        <v/>
      </c>
      <c r="C15" s="38">
        <f>IF(7&lt;=KALKULATOR!$C$10,G14,"")</f>
        <v/>
      </c>
      <c r="D15" s="38">
        <f>IF(7&lt;=KALKULATOR!$C$10,KALKULATOR!$C$21,"")</f>
        <v/>
      </c>
      <c r="E15" s="38">
        <f>IF(7&lt;=KALKULATOR!$C$10,-C15*KALKULATOR!$C$9,"")</f>
        <v/>
      </c>
      <c r="F15" s="38">
        <f>IF(7&lt;=KALKULATOR!$C$10,D15-E15,"")</f>
        <v/>
      </c>
      <c r="G15" s="38">
        <f>IF(7&lt;=KALKULATOR!$C$10,C15+F15,"")</f>
        <v/>
      </c>
    </row>
    <row r="16">
      <c r="B16" s="37">
        <f>IF(8&lt;=KALKULATOR!$C$10,8,"")</f>
        <v/>
      </c>
      <c r="C16" s="38">
        <f>IF(8&lt;=KALKULATOR!$C$10,G15,"")</f>
        <v/>
      </c>
      <c r="D16" s="38">
        <f>IF(8&lt;=KALKULATOR!$C$10,KALKULATOR!$C$21,"")</f>
        <v/>
      </c>
      <c r="E16" s="38">
        <f>IF(8&lt;=KALKULATOR!$C$10,-C16*KALKULATOR!$C$9,"")</f>
        <v/>
      </c>
      <c r="F16" s="38">
        <f>IF(8&lt;=KALKULATOR!$C$10,D16-E16,"")</f>
        <v/>
      </c>
      <c r="G16" s="38">
        <f>IF(8&lt;=KALKULATOR!$C$10,C16+F16,"")</f>
        <v/>
      </c>
    </row>
    <row r="17">
      <c r="B17" s="37">
        <f>IF(9&lt;=KALKULATOR!$C$10,9,"")</f>
        <v/>
      </c>
      <c r="C17" s="38">
        <f>IF(9&lt;=KALKULATOR!$C$10,G16,"")</f>
        <v/>
      </c>
      <c r="D17" s="38">
        <f>IF(9&lt;=KALKULATOR!$C$10,KALKULATOR!$C$21,"")</f>
        <v/>
      </c>
      <c r="E17" s="38">
        <f>IF(9&lt;=KALKULATOR!$C$10,-C17*KALKULATOR!$C$9,"")</f>
        <v/>
      </c>
      <c r="F17" s="38">
        <f>IF(9&lt;=KALKULATOR!$C$10,D17-E17,"")</f>
        <v/>
      </c>
      <c r="G17" s="38">
        <f>IF(9&lt;=KALKULATOR!$C$10,C17+F17,"")</f>
        <v/>
      </c>
    </row>
    <row r="18">
      <c r="B18" s="37">
        <f>IF(10&lt;=KALKULATOR!$C$10,10,"")</f>
        <v/>
      </c>
      <c r="C18" s="38">
        <f>IF(10&lt;=KALKULATOR!$C$10,G17,"")</f>
        <v/>
      </c>
      <c r="D18" s="38">
        <f>IF(10&lt;=KALKULATOR!$C$10,KALKULATOR!$C$21,"")</f>
        <v/>
      </c>
      <c r="E18" s="38">
        <f>IF(10&lt;=KALKULATOR!$C$10,-C18*KALKULATOR!$C$9,"")</f>
        <v/>
      </c>
      <c r="F18" s="38">
        <f>IF(10&lt;=KALKULATOR!$C$10,D18-E18,"")</f>
        <v/>
      </c>
      <c r="G18" s="38">
        <f>IF(10&lt;=KALKULATOR!$C$10,C18+F18,"")</f>
        <v/>
      </c>
    </row>
    <row r="19">
      <c r="B19" s="37">
        <f>IF(11&lt;=KALKULATOR!$C$10,11,"")</f>
        <v/>
      </c>
      <c r="C19" s="38">
        <f>IF(11&lt;=KALKULATOR!$C$10,G18,"")</f>
        <v/>
      </c>
      <c r="D19" s="38">
        <f>IF(11&lt;=KALKULATOR!$C$10,KALKULATOR!$C$21,"")</f>
        <v/>
      </c>
      <c r="E19" s="38">
        <f>IF(11&lt;=KALKULATOR!$C$10,-C19*KALKULATOR!$C$9,"")</f>
        <v/>
      </c>
      <c r="F19" s="38">
        <f>IF(11&lt;=KALKULATOR!$C$10,D19-E19,"")</f>
        <v/>
      </c>
      <c r="G19" s="38">
        <f>IF(11&lt;=KALKULATOR!$C$10,C19+F19,"")</f>
        <v/>
      </c>
    </row>
    <row r="20">
      <c r="B20" s="37">
        <f>IF(12&lt;=KALKULATOR!$C$10,12,"")</f>
        <v/>
      </c>
      <c r="C20" s="38">
        <f>IF(12&lt;=KALKULATOR!$C$10,G19,"")</f>
        <v/>
      </c>
      <c r="D20" s="38">
        <f>IF(12&lt;=KALKULATOR!$C$10,KALKULATOR!$C$21,"")</f>
        <v/>
      </c>
      <c r="E20" s="38">
        <f>IF(12&lt;=KALKULATOR!$C$10,-C20*KALKULATOR!$C$9,"")</f>
        <v/>
      </c>
      <c r="F20" s="38">
        <f>IF(12&lt;=KALKULATOR!$C$10,D20-E20,"")</f>
        <v/>
      </c>
      <c r="G20" s="38">
        <f>IF(12&lt;=KALKULATOR!$C$10,C20+F20,"")</f>
        <v/>
      </c>
    </row>
    <row r="21">
      <c r="B21" s="37">
        <f>IF(13&lt;=KALKULATOR!$C$10,13,"")</f>
        <v/>
      </c>
      <c r="C21" s="38">
        <f>IF(13&lt;=KALKULATOR!$C$10,G20,"")</f>
        <v/>
      </c>
      <c r="D21" s="38">
        <f>IF(13&lt;=KALKULATOR!$C$10,KALKULATOR!$C$21,"")</f>
        <v/>
      </c>
      <c r="E21" s="38">
        <f>IF(13&lt;=KALKULATOR!$C$10,-C21*KALKULATOR!$C$9,"")</f>
        <v/>
      </c>
      <c r="F21" s="38">
        <f>IF(13&lt;=KALKULATOR!$C$10,D21-E21,"")</f>
        <v/>
      </c>
      <c r="G21" s="38">
        <f>IF(13&lt;=KALKULATOR!$C$10,C21+F21,"")</f>
        <v/>
      </c>
    </row>
    <row r="22">
      <c r="B22" s="37">
        <f>IF(14&lt;=KALKULATOR!$C$10,14,"")</f>
        <v/>
      </c>
      <c r="C22" s="38">
        <f>IF(14&lt;=KALKULATOR!$C$10,G21,"")</f>
        <v/>
      </c>
      <c r="D22" s="38">
        <f>IF(14&lt;=KALKULATOR!$C$10,KALKULATOR!$C$21,"")</f>
        <v/>
      </c>
      <c r="E22" s="38">
        <f>IF(14&lt;=KALKULATOR!$C$10,-C22*KALKULATOR!$C$9,"")</f>
        <v/>
      </c>
      <c r="F22" s="38">
        <f>IF(14&lt;=KALKULATOR!$C$10,D22-E22,"")</f>
        <v/>
      </c>
      <c r="G22" s="38">
        <f>IF(14&lt;=KALKULATOR!$C$10,C22+F22,"")</f>
        <v/>
      </c>
    </row>
    <row r="23">
      <c r="B23" s="37">
        <f>IF(15&lt;=KALKULATOR!$C$10,15,"")</f>
        <v/>
      </c>
      <c r="C23" s="38">
        <f>IF(15&lt;=KALKULATOR!$C$10,G22,"")</f>
        <v/>
      </c>
      <c r="D23" s="38">
        <f>IF(15&lt;=KALKULATOR!$C$10,KALKULATOR!$C$21,"")</f>
        <v/>
      </c>
      <c r="E23" s="38">
        <f>IF(15&lt;=KALKULATOR!$C$10,-C23*KALKULATOR!$C$9,"")</f>
        <v/>
      </c>
      <c r="F23" s="38">
        <f>IF(15&lt;=KALKULATOR!$C$10,D23-E23,"")</f>
        <v/>
      </c>
      <c r="G23" s="38">
        <f>IF(15&lt;=KALKULATOR!$C$10,C23+F23,"")</f>
        <v/>
      </c>
    </row>
    <row r="24">
      <c r="B24" s="37">
        <f>IF(16&lt;=KALKULATOR!$C$10,16,"")</f>
        <v/>
      </c>
      <c r="C24" s="38">
        <f>IF(16&lt;=KALKULATOR!$C$10,G23,"")</f>
        <v/>
      </c>
      <c r="D24" s="38">
        <f>IF(16&lt;=KALKULATOR!$C$10,KALKULATOR!$C$21,"")</f>
        <v/>
      </c>
      <c r="E24" s="38">
        <f>IF(16&lt;=KALKULATOR!$C$10,-C24*KALKULATOR!$C$9,"")</f>
        <v/>
      </c>
      <c r="F24" s="38">
        <f>IF(16&lt;=KALKULATOR!$C$10,D24-E24,"")</f>
        <v/>
      </c>
      <c r="G24" s="38">
        <f>IF(16&lt;=KALKULATOR!$C$10,C24+F24,"")</f>
        <v/>
      </c>
    </row>
    <row r="25">
      <c r="B25" s="37">
        <f>IF(17&lt;=KALKULATOR!$C$10,17,"")</f>
        <v/>
      </c>
      <c r="C25" s="38">
        <f>IF(17&lt;=KALKULATOR!$C$10,G24,"")</f>
        <v/>
      </c>
      <c r="D25" s="38">
        <f>IF(17&lt;=KALKULATOR!$C$10,KALKULATOR!$C$21,"")</f>
        <v/>
      </c>
      <c r="E25" s="38">
        <f>IF(17&lt;=KALKULATOR!$C$10,-C25*KALKULATOR!$C$9,"")</f>
        <v/>
      </c>
      <c r="F25" s="38">
        <f>IF(17&lt;=KALKULATOR!$C$10,D25-E25,"")</f>
        <v/>
      </c>
      <c r="G25" s="38">
        <f>IF(17&lt;=KALKULATOR!$C$10,C25+F25,"")</f>
        <v/>
      </c>
    </row>
    <row r="26">
      <c r="B26" s="37">
        <f>IF(18&lt;=KALKULATOR!$C$10,18,"")</f>
        <v/>
      </c>
      <c r="C26" s="38">
        <f>IF(18&lt;=KALKULATOR!$C$10,G25,"")</f>
        <v/>
      </c>
      <c r="D26" s="38">
        <f>IF(18&lt;=KALKULATOR!$C$10,KALKULATOR!$C$21,"")</f>
        <v/>
      </c>
      <c r="E26" s="38">
        <f>IF(18&lt;=KALKULATOR!$C$10,-C26*KALKULATOR!$C$9,"")</f>
        <v/>
      </c>
      <c r="F26" s="38">
        <f>IF(18&lt;=KALKULATOR!$C$10,D26-E26,"")</f>
        <v/>
      </c>
      <c r="G26" s="38">
        <f>IF(18&lt;=KALKULATOR!$C$10,C26+F26,"")</f>
        <v/>
      </c>
    </row>
    <row r="27">
      <c r="B27" s="37">
        <f>IF(19&lt;=KALKULATOR!$C$10,19,"")</f>
        <v/>
      </c>
      <c r="C27" s="38">
        <f>IF(19&lt;=KALKULATOR!$C$10,G26,"")</f>
        <v/>
      </c>
      <c r="D27" s="38">
        <f>IF(19&lt;=KALKULATOR!$C$10,KALKULATOR!$C$21,"")</f>
        <v/>
      </c>
      <c r="E27" s="38">
        <f>IF(19&lt;=KALKULATOR!$C$10,-C27*KALKULATOR!$C$9,"")</f>
        <v/>
      </c>
      <c r="F27" s="38">
        <f>IF(19&lt;=KALKULATOR!$C$10,D27-E27,"")</f>
        <v/>
      </c>
      <c r="G27" s="38">
        <f>IF(19&lt;=KALKULATOR!$C$10,C27+F27,"")</f>
        <v/>
      </c>
    </row>
    <row r="28">
      <c r="B28" s="37">
        <f>IF(20&lt;=KALKULATOR!$C$10,20,"")</f>
        <v/>
      </c>
      <c r="C28" s="38">
        <f>IF(20&lt;=KALKULATOR!$C$10,G27,"")</f>
        <v/>
      </c>
      <c r="D28" s="38">
        <f>IF(20&lt;=KALKULATOR!$C$10,KALKULATOR!$C$21,"")</f>
        <v/>
      </c>
      <c r="E28" s="38">
        <f>IF(20&lt;=KALKULATOR!$C$10,-C28*KALKULATOR!$C$9,"")</f>
        <v/>
      </c>
      <c r="F28" s="38">
        <f>IF(20&lt;=KALKULATOR!$C$10,D28-E28,"")</f>
        <v/>
      </c>
      <c r="G28" s="38">
        <f>IF(20&lt;=KALKULATOR!$C$10,C28+F28,"")</f>
        <v/>
      </c>
    </row>
    <row r="29">
      <c r="B29" s="37">
        <f>IF(21&lt;=KALKULATOR!$C$10,21,"")</f>
        <v/>
      </c>
      <c r="C29" s="38">
        <f>IF(21&lt;=KALKULATOR!$C$10,G28,"")</f>
        <v/>
      </c>
      <c r="D29" s="38">
        <f>IF(21&lt;=KALKULATOR!$C$10,KALKULATOR!$C$21,"")</f>
        <v/>
      </c>
      <c r="E29" s="38">
        <f>IF(21&lt;=KALKULATOR!$C$10,-C29*KALKULATOR!$C$9,"")</f>
        <v/>
      </c>
      <c r="F29" s="38">
        <f>IF(21&lt;=KALKULATOR!$C$10,D29-E29,"")</f>
        <v/>
      </c>
      <c r="G29" s="38">
        <f>IF(21&lt;=KALKULATOR!$C$10,C29+F29,"")</f>
        <v/>
      </c>
    </row>
    <row r="30">
      <c r="B30" s="37">
        <f>IF(22&lt;=KALKULATOR!$C$10,22,"")</f>
        <v/>
      </c>
      <c r="C30" s="38">
        <f>IF(22&lt;=KALKULATOR!$C$10,G29,"")</f>
        <v/>
      </c>
      <c r="D30" s="38">
        <f>IF(22&lt;=KALKULATOR!$C$10,KALKULATOR!$C$21,"")</f>
        <v/>
      </c>
      <c r="E30" s="38">
        <f>IF(22&lt;=KALKULATOR!$C$10,-C30*KALKULATOR!$C$9,"")</f>
        <v/>
      </c>
      <c r="F30" s="38">
        <f>IF(22&lt;=KALKULATOR!$C$10,D30-E30,"")</f>
        <v/>
      </c>
      <c r="G30" s="38">
        <f>IF(22&lt;=KALKULATOR!$C$10,C30+F30,"")</f>
        <v/>
      </c>
    </row>
    <row r="31">
      <c r="B31" s="37">
        <f>IF(23&lt;=KALKULATOR!$C$10,23,"")</f>
        <v/>
      </c>
      <c r="C31" s="38">
        <f>IF(23&lt;=KALKULATOR!$C$10,G30,"")</f>
        <v/>
      </c>
      <c r="D31" s="38">
        <f>IF(23&lt;=KALKULATOR!$C$10,KALKULATOR!$C$21,"")</f>
        <v/>
      </c>
      <c r="E31" s="38">
        <f>IF(23&lt;=KALKULATOR!$C$10,-C31*KALKULATOR!$C$9,"")</f>
        <v/>
      </c>
      <c r="F31" s="38">
        <f>IF(23&lt;=KALKULATOR!$C$10,D31-E31,"")</f>
        <v/>
      </c>
      <c r="G31" s="38">
        <f>IF(23&lt;=KALKULATOR!$C$10,C31+F31,"")</f>
        <v/>
      </c>
    </row>
    <row r="32">
      <c r="B32" s="37">
        <f>IF(24&lt;=KALKULATOR!$C$10,24,"")</f>
        <v/>
      </c>
      <c r="C32" s="38">
        <f>IF(24&lt;=KALKULATOR!$C$10,G31,"")</f>
        <v/>
      </c>
      <c r="D32" s="38">
        <f>IF(24&lt;=KALKULATOR!$C$10,KALKULATOR!$C$21,"")</f>
        <v/>
      </c>
      <c r="E32" s="38">
        <f>IF(24&lt;=KALKULATOR!$C$10,-C32*KALKULATOR!$C$9,"")</f>
        <v/>
      </c>
      <c r="F32" s="38">
        <f>IF(24&lt;=KALKULATOR!$C$10,D32-E32,"")</f>
        <v/>
      </c>
      <c r="G32" s="38">
        <f>IF(24&lt;=KALKULATOR!$C$10,C32+F32,"")</f>
        <v/>
      </c>
    </row>
    <row r="33">
      <c r="B33" s="37">
        <f>IF(25&lt;=KALKULATOR!$C$10,25,"")</f>
        <v/>
      </c>
      <c r="C33" s="38">
        <f>IF(25&lt;=KALKULATOR!$C$10,G32,"")</f>
        <v/>
      </c>
      <c r="D33" s="38">
        <f>IF(25&lt;=KALKULATOR!$C$10,KALKULATOR!$C$21,"")</f>
        <v/>
      </c>
      <c r="E33" s="38">
        <f>IF(25&lt;=KALKULATOR!$C$10,-C33*KALKULATOR!$C$9,"")</f>
        <v/>
      </c>
      <c r="F33" s="38">
        <f>IF(25&lt;=KALKULATOR!$C$10,D33-E33,"")</f>
        <v/>
      </c>
      <c r="G33" s="38">
        <f>IF(25&lt;=KALKULATOR!$C$10,C33+F33,"")</f>
        <v/>
      </c>
    </row>
    <row r="34">
      <c r="B34" s="37">
        <f>IF(26&lt;=KALKULATOR!$C$10,26,"")</f>
        <v/>
      </c>
      <c r="C34" s="38">
        <f>IF(26&lt;=KALKULATOR!$C$10,G33,"")</f>
        <v/>
      </c>
      <c r="D34" s="38">
        <f>IF(26&lt;=KALKULATOR!$C$10,KALKULATOR!$C$21,"")</f>
        <v/>
      </c>
      <c r="E34" s="38">
        <f>IF(26&lt;=KALKULATOR!$C$10,-C34*KALKULATOR!$C$9,"")</f>
        <v/>
      </c>
      <c r="F34" s="38">
        <f>IF(26&lt;=KALKULATOR!$C$10,D34-E34,"")</f>
        <v/>
      </c>
      <c r="G34" s="38">
        <f>IF(26&lt;=KALKULATOR!$C$10,C34+F34,"")</f>
        <v/>
      </c>
    </row>
    <row r="35">
      <c r="B35" s="37">
        <f>IF(27&lt;=KALKULATOR!$C$10,27,"")</f>
        <v/>
      </c>
      <c r="C35" s="38">
        <f>IF(27&lt;=KALKULATOR!$C$10,G34,"")</f>
        <v/>
      </c>
      <c r="D35" s="38">
        <f>IF(27&lt;=KALKULATOR!$C$10,KALKULATOR!$C$21,"")</f>
        <v/>
      </c>
      <c r="E35" s="38">
        <f>IF(27&lt;=KALKULATOR!$C$10,-C35*KALKULATOR!$C$9,"")</f>
        <v/>
      </c>
      <c r="F35" s="38">
        <f>IF(27&lt;=KALKULATOR!$C$10,D35-E35,"")</f>
        <v/>
      </c>
      <c r="G35" s="38">
        <f>IF(27&lt;=KALKULATOR!$C$10,C35+F35,"")</f>
        <v/>
      </c>
    </row>
    <row r="36">
      <c r="B36" s="37">
        <f>IF(28&lt;=KALKULATOR!$C$10,28,"")</f>
        <v/>
      </c>
      <c r="C36" s="38">
        <f>IF(28&lt;=KALKULATOR!$C$10,G35,"")</f>
        <v/>
      </c>
      <c r="D36" s="38">
        <f>IF(28&lt;=KALKULATOR!$C$10,KALKULATOR!$C$21,"")</f>
        <v/>
      </c>
      <c r="E36" s="38">
        <f>IF(28&lt;=KALKULATOR!$C$10,-C36*KALKULATOR!$C$9,"")</f>
        <v/>
      </c>
      <c r="F36" s="38">
        <f>IF(28&lt;=KALKULATOR!$C$10,D36-E36,"")</f>
        <v/>
      </c>
      <c r="G36" s="38">
        <f>IF(28&lt;=KALKULATOR!$C$10,C36+F36,"")</f>
        <v/>
      </c>
    </row>
    <row r="37">
      <c r="B37" s="37">
        <f>IF(29&lt;=KALKULATOR!$C$10,29,"")</f>
        <v/>
      </c>
      <c r="C37" s="38">
        <f>IF(29&lt;=KALKULATOR!$C$10,G36,"")</f>
        <v/>
      </c>
      <c r="D37" s="38">
        <f>IF(29&lt;=KALKULATOR!$C$10,KALKULATOR!$C$21,"")</f>
        <v/>
      </c>
      <c r="E37" s="38">
        <f>IF(29&lt;=KALKULATOR!$C$10,-C37*KALKULATOR!$C$9,"")</f>
        <v/>
      </c>
      <c r="F37" s="38">
        <f>IF(29&lt;=KALKULATOR!$C$10,D37-E37,"")</f>
        <v/>
      </c>
      <c r="G37" s="38">
        <f>IF(29&lt;=KALKULATOR!$C$10,C37+F37,"")</f>
        <v/>
      </c>
    </row>
    <row r="38">
      <c r="B38" s="37">
        <f>IF(30&lt;=KALKULATOR!$C$10,30,"")</f>
        <v/>
      </c>
      <c r="C38" s="38">
        <f>IF(30&lt;=KALKULATOR!$C$10,G37,"")</f>
        <v/>
      </c>
      <c r="D38" s="38">
        <f>IF(30&lt;=KALKULATOR!$C$10,KALKULATOR!$C$21,"")</f>
        <v/>
      </c>
      <c r="E38" s="38">
        <f>IF(30&lt;=KALKULATOR!$C$10,-C38*KALKULATOR!$C$9,"")</f>
        <v/>
      </c>
      <c r="F38" s="38">
        <f>IF(30&lt;=KALKULATOR!$C$10,D38-E38,"")</f>
        <v/>
      </c>
      <c r="G38" s="38">
        <f>IF(30&lt;=KALKULATOR!$C$10,C38+F38,"")</f>
        <v/>
      </c>
    </row>
    <row r="39">
      <c r="B39" s="37">
        <f>IF(31&lt;=KALKULATOR!$C$10,31,"")</f>
        <v/>
      </c>
      <c r="C39" s="38">
        <f>IF(31&lt;=KALKULATOR!$C$10,G38,"")</f>
        <v/>
      </c>
      <c r="D39" s="38">
        <f>IF(31&lt;=KALKULATOR!$C$10,KALKULATOR!$C$21,"")</f>
        <v/>
      </c>
      <c r="E39" s="38">
        <f>IF(31&lt;=KALKULATOR!$C$10,-C39*KALKULATOR!$C$9,"")</f>
        <v/>
      </c>
      <c r="F39" s="38">
        <f>IF(31&lt;=KALKULATOR!$C$10,D39-E39,"")</f>
        <v/>
      </c>
      <c r="G39" s="38">
        <f>IF(31&lt;=KALKULATOR!$C$10,C39+F39,"")</f>
        <v/>
      </c>
    </row>
    <row r="40">
      <c r="B40" s="37">
        <f>IF(32&lt;=KALKULATOR!$C$10,32,"")</f>
        <v/>
      </c>
      <c r="C40" s="38">
        <f>IF(32&lt;=KALKULATOR!$C$10,G39,"")</f>
        <v/>
      </c>
      <c r="D40" s="38">
        <f>IF(32&lt;=KALKULATOR!$C$10,KALKULATOR!$C$21,"")</f>
        <v/>
      </c>
      <c r="E40" s="38">
        <f>IF(32&lt;=KALKULATOR!$C$10,-C40*KALKULATOR!$C$9,"")</f>
        <v/>
      </c>
      <c r="F40" s="38">
        <f>IF(32&lt;=KALKULATOR!$C$10,D40-E40,"")</f>
        <v/>
      </c>
      <c r="G40" s="38">
        <f>IF(32&lt;=KALKULATOR!$C$10,C40+F40,"")</f>
        <v/>
      </c>
    </row>
    <row r="41">
      <c r="B41" s="37">
        <f>IF(33&lt;=KALKULATOR!$C$10,33,"")</f>
        <v/>
      </c>
      <c r="C41" s="38">
        <f>IF(33&lt;=KALKULATOR!$C$10,G40,"")</f>
        <v/>
      </c>
      <c r="D41" s="38">
        <f>IF(33&lt;=KALKULATOR!$C$10,KALKULATOR!$C$21,"")</f>
        <v/>
      </c>
      <c r="E41" s="38">
        <f>IF(33&lt;=KALKULATOR!$C$10,-C41*KALKULATOR!$C$9,"")</f>
        <v/>
      </c>
      <c r="F41" s="38">
        <f>IF(33&lt;=KALKULATOR!$C$10,D41-E41,"")</f>
        <v/>
      </c>
      <c r="G41" s="38">
        <f>IF(33&lt;=KALKULATOR!$C$10,C41+F41,"")</f>
        <v/>
      </c>
    </row>
    <row r="42">
      <c r="B42" s="37">
        <f>IF(34&lt;=KALKULATOR!$C$10,34,"")</f>
        <v/>
      </c>
      <c r="C42" s="38">
        <f>IF(34&lt;=KALKULATOR!$C$10,G41,"")</f>
        <v/>
      </c>
      <c r="D42" s="38">
        <f>IF(34&lt;=KALKULATOR!$C$10,KALKULATOR!$C$21,"")</f>
        <v/>
      </c>
      <c r="E42" s="38">
        <f>IF(34&lt;=KALKULATOR!$C$10,-C42*KALKULATOR!$C$9,"")</f>
        <v/>
      </c>
      <c r="F42" s="38">
        <f>IF(34&lt;=KALKULATOR!$C$10,D42-E42,"")</f>
        <v/>
      </c>
      <c r="G42" s="38">
        <f>IF(34&lt;=KALKULATOR!$C$10,C42+F42,"")</f>
        <v/>
      </c>
    </row>
    <row r="43">
      <c r="B43" s="37">
        <f>IF(35&lt;=KALKULATOR!$C$10,35,"")</f>
        <v/>
      </c>
      <c r="C43" s="38">
        <f>IF(35&lt;=KALKULATOR!$C$10,G42,"")</f>
        <v/>
      </c>
      <c r="D43" s="38">
        <f>IF(35&lt;=KALKULATOR!$C$10,KALKULATOR!$C$21,"")</f>
        <v/>
      </c>
      <c r="E43" s="38">
        <f>IF(35&lt;=KALKULATOR!$C$10,-C43*KALKULATOR!$C$9,"")</f>
        <v/>
      </c>
      <c r="F43" s="38">
        <f>IF(35&lt;=KALKULATOR!$C$10,D43-E43,"")</f>
        <v/>
      </c>
      <c r="G43" s="38">
        <f>IF(35&lt;=KALKULATOR!$C$10,C43+F43,"")</f>
        <v/>
      </c>
    </row>
    <row r="44">
      <c r="B44" s="37">
        <f>IF(36&lt;=KALKULATOR!$C$10,36,"")</f>
        <v/>
      </c>
      <c r="C44" s="38">
        <f>IF(36&lt;=KALKULATOR!$C$10,G43,"")</f>
        <v/>
      </c>
      <c r="D44" s="38">
        <f>IF(36&lt;=KALKULATOR!$C$10,KALKULATOR!$C$21,"")</f>
        <v/>
      </c>
      <c r="E44" s="38">
        <f>IF(36&lt;=KALKULATOR!$C$10,-C44*KALKULATOR!$C$9,"")</f>
        <v/>
      </c>
      <c r="F44" s="38">
        <f>IF(36&lt;=KALKULATOR!$C$10,D44-E44,"")</f>
        <v/>
      </c>
      <c r="G44" s="38">
        <f>IF(36&lt;=KALKULATOR!$C$10,C44+F44,"")</f>
        <v/>
      </c>
    </row>
    <row r="45">
      <c r="B45" s="37">
        <f>IF(37&lt;=KALKULATOR!$C$10,37,"")</f>
        <v/>
      </c>
      <c r="C45" s="38">
        <f>IF(37&lt;=KALKULATOR!$C$10,G44,"")</f>
        <v/>
      </c>
      <c r="D45" s="38">
        <f>IF(37&lt;=KALKULATOR!$C$10,KALKULATOR!$C$21,"")</f>
        <v/>
      </c>
      <c r="E45" s="38">
        <f>IF(37&lt;=KALKULATOR!$C$10,-C45*KALKULATOR!$C$9,"")</f>
        <v/>
      </c>
      <c r="F45" s="38">
        <f>IF(37&lt;=KALKULATOR!$C$10,D45-E45,"")</f>
        <v/>
      </c>
      <c r="G45" s="38">
        <f>IF(37&lt;=KALKULATOR!$C$10,C45+F45,"")</f>
        <v/>
      </c>
    </row>
    <row r="46">
      <c r="B46" s="37">
        <f>IF(38&lt;=KALKULATOR!$C$10,38,"")</f>
        <v/>
      </c>
      <c r="C46" s="38">
        <f>IF(38&lt;=KALKULATOR!$C$10,G45,"")</f>
        <v/>
      </c>
      <c r="D46" s="38">
        <f>IF(38&lt;=KALKULATOR!$C$10,KALKULATOR!$C$21,"")</f>
        <v/>
      </c>
      <c r="E46" s="38">
        <f>IF(38&lt;=KALKULATOR!$C$10,-C46*KALKULATOR!$C$9,"")</f>
        <v/>
      </c>
      <c r="F46" s="38">
        <f>IF(38&lt;=KALKULATOR!$C$10,D46-E46,"")</f>
        <v/>
      </c>
      <c r="G46" s="38">
        <f>IF(38&lt;=KALKULATOR!$C$10,C46+F46,"")</f>
        <v/>
      </c>
    </row>
    <row r="47">
      <c r="B47" s="37">
        <f>IF(39&lt;=KALKULATOR!$C$10,39,"")</f>
        <v/>
      </c>
      <c r="C47" s="38">
        <f>IF(39&lt;=KALKULATOR!$C$10,G46,"")</f>
        <v/>
      </c>
      <c r="D47" s="38">
        <f>IF(39&lt;=KALKULATOR!$C$10,KALKULATOR!$C$21,"")</f>
        <v/>
      </c>
      <c r="E47" s="38">
        <f>IF(39&lt;=KALKULATOR!$C$10,-C47*KALKULATOR!$C$9,"")</f>
        <v/>
      </c>
      <c r="F47" s="38">
        <f>IF(39&lt;=KALKULATOR!$C$10,D47-E47,"")</f>
        <v/>
      </c>
      <c r="G47" s="38">
        <f>IF(39&lt;=KALKULATOR!$C$10,C47+F47,"")</f>
        <v/>
      </c>
    </row>
    <row r="48">
      <c r="B48" s="37">
        <f>IF(40&lt;=KALKULATOR!$C$10,40,"")</f>
        <v/>
      </c>
      <c r="C48" s="38">
        <f>IF(40&lt;=KALKULATOR!$C$10,G47,"")</f>
        <v/>
      </c>
      <c r="D48" s="38">
        <f>IF(40&lt;=KALKULATOR!$C$10,KALKULATOR!$C$21,"")</f>
        <v/>
      </c>
      <c r="E48" s="38">
        <f>IF(40&lt;=KALKULATOR!$C$10,-C48*KALKULATOR!$C$9,"")</f>
        <v/>
      </c>
      <c r="F48" s="38">
        <f>IF(40&lt;=KALKULATOR!$C$10,D48-E48,"")</f>
        <v/>
      </c>
      <c r="G48" s="38">
        <f>IF(40&lt;=KALKULATOR!$C$10,C48+F48,"")</f>
        <v/>
      </c>
    </row>
    <row r="49">
      <c r="B49" s="37">
        <f>IF(41&lt;=KALKULATOR!$C$10,41,"")</f>
        <v/>
      </c>
      <c r="C49" s="38">
        <f>IF(41&lt;=KALKULATOR!$C$10,G48,"")</f>
        <v/>
      </c>
      <c r="D49" s="38">
        <f>IF(41&lt;=KALKULATOR!$C$10,KALKULATOR!$C$21,"")</f>
        <v/>
      </c>
      <c r="E49" s="38">
        <f>IF(41&lt;=KALKULATOR!$C$10,-C49*KALKULATOR!$C$9,"")</f>
        <v/>
      </c>
      <c r="F49" s="38">
        <f>IF(41&lt;=KALKULATOR!$C$10,D49-E49,"")</f>
        <v/>
      </c>
      <c r="G49" s="38">
        <f>IF(41&lt;=KALKULATOR!$C$10,C49+F49,"")</f>
        <v/>
      </c>
    </row>
    <row r="50">
      <c r="B50" s="37">
        <f>IF(42&lt;=KALKULATOR!$C$10,42,"")</f>
        <v/>
      </c>
      <c r="C50" s="38">
        <f>IF(42&lt;=KALKULATOR!$C$10,G49,"")</f>
        <v/>
      </c>
      <c r="D50" s="38">
        <f>IF(42&lt;=KALKULATOR!$C$10,KALKULATOR!$C$21,"")</f>
        <v/>
      </c>
      <c r="E50" s="38">
        <f>IF(42&lt;=KALKULATOR!$C$10,-C50*KALKULATOR!$C$9,"")</f>
        <v/>
      </c>
      <c r="F50" s="38">
        <f>IF(42&lt;=KALKULATOR!$C$10,D50-E50,"")</f>
        <v/>
      </c>
      <c r="G50" s="38">
        <f>IF(42&lt;=KALKULATOR!$C$10,C50+F50,"")</f>
        <v/>
      </c>
    </row>
    <row r="51">
      <c r="B51" s="37">
        <f>IF(43&lt;=KALKULATOR!$C$10,43,"")</f>
        <v/>
      </c>
      <c r="C51" s="38">
        <f>IF(43&lt;=KALKULATOR!$C$10,G50,"")</f>
        <v/>
      </c>
      <c r="D51" s="38">
        <f>IF(43&lt;=KALKULATOR!$C$10,KALKULATOR!$C$21,"")</f>
        <v/>
      </c>
      <c r="E51" s="38">
        <f>IF(43&lt;=KALKULATOR!$C$10,-C51*KALKULATOR!$C$9,"")</f>
        <v/>
      </c>
      <c r="F51" s="38">
        <f>IF(43&lt;=KALKULATOR!$C$10,D51-E51,"")</f>
        <v/>
      </c>
      <c r="G51" s="38">
        <f>IF(43&lt;=KALKULATOR!$C$10,C51+F51,"")</f>
        <v/>
      </c>
    </row>
    <row r="52">
      <c r="B52" s="37">
        <f>IF(44&lt;=KALKULATOR!$C$10,44,"")</f>
        <v/>
      </c>
      <c r="C52" s="38">
        <f>IF(44&lt;=KALKULATOR!$C$10,G51,"")</f>
        <v/>
      </c>
      <c r="D52" s="38">
        <f>IF(44&lt;=KALKULATOR!$C$10,KALKULATOR!$C$21,"")</f>
        <v/>
      </c>
      <c r="E52" s="38">
        <f>IF(44&lt;=KALKULATOR!$C$10,-C52*KALKULATOR!$C$9,"")</f>
        <v/>
      </c>
      <c r="F52" s="38">
        <f>IF(44&lt;=KALKULATOR!$C$10,D52-E52,"")</f>
        <v/>
      </c>
      <c r="G52" s="38">
        <f>IF(44&lt;=KALKULATOR!$C$10,C52+F52,"")</f>
        <v/>
      </c>
    </row>
    <row r="53">
      <c r="B53" s="37">
        <f>IF(45&lt;=KALKULATOR!$C$10,45,"")</f>
        <v/>
      </c>
      <c r="C53" s="38">
        <f>IF(45&lt;=KALKULATOR!$C$10,G52,"")</f>
        <v/>
      </c>
      <c r="D53" s="38">
        <f>IF(45&lt;=KALKULATOR!$C$10,KALKULATOR!$C$21,"")</f>
        <v/>
      </c>
      <c r="E53" s="38">
        <f>IF(45&lt;=KALKULATOR!$C$10,-C53*KALKULATOR!$C$9,"")</f>
        <v/>
      </c>
      <c r="F53" s="38">
        <f>IF(45&lt;=KALKULATOR!$C$10,D53-E53,"")</f>
        <v/>
      </c>
      <c r="G53" s="38">
        <f>IF(45&lt;=KALKULATOR!$C$10,C53+F53,"")</f>
        <v/>
      </c>
    </row>
    <row r="54">
      <c r="B54" s="37">
        <f>IF(46&lt;=KALKULATOR!$C$10,46,"")</f>
        <v/>
      </c>
      <c r="C54" s="38">
        <f>IF(46&lt;=KALKULATOR!$C$10,G53,"")</f>
        <v/>
      </c>
      <c r="D54" s="38">
        <f>IF(46&lt;=KALKULATOR!$C$10,KALKULATOR!$C$21,"")</f>
        <v/>
      </c>
      <c r="E54" s="38">
        <f>IF(46&lt;=KALKULATOR!$C$10,-C54*KALKULATOR!$C$9,"")</f>
        <v/>
      </c>
      <c r="F54" s="38">
        <f>IF(46&lt;=KALKULATOR!$C$10,D54-E54,"")</f>
        <v/>
      </c>
      <c r="G54" s="38">
        <f>IF(46&lt;=KALKULATOR!$C$10,C54+F54,"")</f>
        <v/>
      </c>
    </row>
    <row r="55">
      <c r="B55" s="37">
        <f>IF(47&lt;=KALKULATOR!$C$10,47,"")</f>
        <v/>
      </c>
      <c r="C55" s="38">
        <f>IF(47&lt;=KALKULATOR!$C$10,G54,"")</f>
        <v/>
      </c>
      <c r="D55" s="38">
        <f>IF(47&lt;=KALKULATOR!$C$10,KALKULATOR!$C$21,"")</f>
        <v/>
      </c>
      <c r="E55" s="38">
        <f>IF(47&lt;=KALKULATOR!$C$10,-C55*KALKULATOR!$C$9,"")</f>
        <v/>
      </c>
      <c r="F55" s="38">
        <f>IF(47&lt;=KALKULATOR!$C$10,D55-E55,"")</f>
        <v/>
      </c>
      <c r="G55" s="38">
        <f>IF(47&lt;=KALKULATOR!$C$10,C55+F55,"")</f>
        <v/>
      </c>
    </row>
    <row r="56">
      <c r="B56" s="37">
        <f>IF(48&lt;=KALKULATOR!$C$10,48,"")</f>
        <v/>
      </c>
      <c r="C56" s="38">
        <f>IF(48&lt;=KALKULATOR!$C$10,G55,"")</f>
        <v/>
      </c>
      <c r="D56" s="38">
        <f>IF(48&lt;=KALKULATOR!$C$10,KALKULATOR!$C$21,"")</f>
        <v/>
      </c>
      <c r="E56" s="38">
        <f>IF(48&lt;=KALKULATOR!$C$10,-C56*KALKULATOR!$C$9,"")</f>
        <v/>
      </c>
      <c r="F56" s="38">
        <f>IF(48&lt;=KALKULATOR!$C$10,D56-E56,"")</f>
        <v/>
      </c>
      <c r="G56" s="38">
        <f>IF(48&lt;=KALKULATOR!$C$10,C56+F56,"")</f>
        <v/>
      </c>
    </row>
    <row r="57">
      <c r="B57" s="37">
        <f>IF(49&lt;=KALKULATOR!$C$10,49,"")</f>
        <v/>
      </c>
      <c r="C57" s="38">
        <f>IF(49&lt;=KALKULATOR!$C$10,G56,"")</f>
        <v/>
      </c>
      <c r="D57" s="38">
        <f>IF(49&lt;=KALKULATOR!$C$10,KALKULATOR!$C$21,"")</f>
        <v/>
      </c>
      <c r="E57" s="38">
        <f>IF(49&lt;=KALKULATOR!$C$10,-C57*KALKULATOR!$C$9,"")</f>
        <v/>
      </c>
      <c r="F57" s="38">
        <f>IF(49&lt;=KALKULATOR!$C$10,D57-E57,"")</f>
        <v/>
      </c>
      <c r="G57" s="38">
        <f>IF(49&lt;=KALKULATOR!$C$10,C57+F57,"")</f>
        <v/>
      </c>
    </row>
    <row r="58">
      <c r="B58" s="37">
        <f>IF(50&lt;=KALKULATOR!$C$10,50,"")</f>
        <v/>
      </c>
      <c r="C58" s="38">
        <f>IF(50&lt;=KALKULATOR!$C$10,G57,"")</f>
        <v/>
      </c>
      <c r="D58" s="38">
        <f>IF(50&lt;=KALKULATOR!$C$10,KALKULATOR!$C$21,"")</f>
        <v/>
      </c>
      <c r="E58" s="38">
        <f>IF(50&lt;=KALKULATOR!$C$10,-C58*KALKULATOR!$C$9,"")</f>
        <v/>
      </c>
      <c r="F58" s="38">
        <f>IF(50&lt;=KALKULATOR!$C$10,D58-E58,"")</f>
        <v/>
      </c>
      <c r="G58" s="38">
        <f>IF(50&lt;=KALKULATOR!$C$10,C58+F58,"")</f>
        <v/>
      </c>
    </row>
    <row r="59">
      <c r="B59" s="37">
        <f>IF(51&lt;=KALKULATOR!$C$10,51,"")</f>
        <v/>
      </c>
      <c r="C59" s="38">
        <f>IF(51&lt;=KALKULATOR!$C$10,G58,"")</f>
        <v/>
      </c>
      <c r="D59" s="38">
        <f>IF(51&lt;=KALKULATOR!$C$10,KALKULATOR!$C$21,"")</f>
        <v/>
      </c>
      <c r="E59" s="38">
        <f>IF(51&lt;=KALKULATOR!$C$10,-C59*KALKULATOR!$C$9,"")</f>
        <v/>
      </c>
      <c r="F59" s="38">
        <f>IF(51&lt;=KALKULATOR!$C$10,D59-E59,"")</f>
        <v/>
      </c>
      <c r="G59" s="38">
        <f>IF(51&lt;=KALKULATOR!$C$10,C59+F59,"")</f>
        <v/>
      </c>
    </row>
    <row r="60">
      <c r="B60" s="37">
        <f>IF(52&lt;=KALKULATOR!$C$10,52,"")</f>
        <v/>
      </c>
      <c r="C60" s="38">
        <f>IF(52&lt;=KALKULATOR!$C$10,G59,"")</f>
        <v/>
      </c>
      <c r="D60" s="38">
        <f>IF(52&lt;=KALKULATOR!$C$10,KALKULATOR!$C$21,"")</f>
        <v/>
      </c>
      <c r="E60" s="38">
        <f>IF(52&lt;=KALKULATOR!$C$10,-C60*KALKULATOR!$C$9,"")</f>
        <v/>
      </c>
      <c r="F60" s="38">
        <f>IF(52&lt;=KALKULATOR!$C$10,D60-E60,"")</f>
        <v/>
      </c>
      <c r="G60" s="38">
        <f>IF(52&lt;=KALKULATOR!$C$10,C60+F60,"")</f>
        <v/>
      </c>
    </row>
    <row r="61">
      <c r="B61" s="37">
        <f>IF(53&lt;=KALKULATOR!$C$10,53,"")</f>
        <v/>
      </c>
      <c r="C61" s="38">
        <f>IF(53&lt;=KALKULATOR!$C$10,G60,"")</f>
        <v/>
      </c>
      <c r="D61" s="38">
        <f>IF(53&lt;=KALKULATOR!$C$10,KALKULATOR!$C$21,"")</f>
        <v/>
      </c>
      <c r="E61" s="38">
        <f>IF(53&lt;=KALKULATOR!$C$10,-C61*KALKULATOR!$C$9,"")</f>
        <v/>
      </c>
      <c r="F61" s="38">
        <f>IF(53&lt;=KALKULATOR!$C$10,D61-E61,"")</f>
        <v/>
      </c>
      <c r="G61" s="38">
        <f>IF(53&lt;=KALKULATOR!$C$10,C61+F61,"")</f>
        <v/>
      </c>
    </row>
    <row r="62">
      <c r="B62" s="37">
        <f>IF(54&lt;=KALKULATOR!$C$10,54,"")</f>
        <v/>
      </c>
      <c r="C62" s="38">
        <f>IF(54&lt;=KALKULATOR!$C$10,G61,"")</f>
        <v/>
      </c>
      <c r="D62" s="38">
        <f>IF(54&lt;=KALKULATOR!$C$10,KALKULATOR!$C$21,"")</f>
        <v/>
      </c>
      <c r="E62" s="38">
        <f>IF(54&lt;=KALKULATOR!$C$10,-C62*KALKULATOR!$C$9,"")</f>
        <v/>
      </c>
      <c r="F62" s="38">
        <f>IF(54&lt;=KALKULATOR!$C$10,D62-E62,"")</f>
        <v/>
      </c>
      <c r="G62" s="38">
        <f>IF(54&lt;=KALKULATOR!$C$10,C62+F62,"")</f>
        <v/>
      </c>
    </row>
    <row r="63">
      <c r="B63" s="37">
        <f>IF(55&lt;=KALKULATOR!$C$10,55,"")</f>
        <v/>
      </c>
      <c r="C63" s="38">
        <f>IF(55&lt;=KALKULATOR!$C$10,G62,"")</f>
        <v/>
      </c>
      <c r="D63" s="38">
        <f>IF(55&lt;=KALKULATOR!$C$10,KALKULATOR!$C$21,"")</f>
        <v/>
      </c>
      <c r="E63" s="38">
        <f>IF(55&lt;=KALKULATOR!$C$10,-C63*KALKULATOR!$C$9,"")</f>
        <v/>
      </c>
      <c r="F63" s="38">
        <f>IF(55&lt;=KALKULATOR!$C$10,D63-E63,"")</f>
        <v/>
      </c>
      <c r="G63" s="38">
        <f>IF(55&lt;=KALKULATOR!$C$10,C63+F63,"")</f>
        <v/>
      </c>
    </row>
    <row r="64">
      <c r="B64" s="37">
        <f>IF(56&lt;=KALKULATOR!$C$10,56,"")</f>
        <v/>
      </c>
      <c r="C64" s="38">
        <f>IF(56&lt;=KALKULATOR!$C$10,G63,"")</f>
        <v/>
      </c>
      <c r="D64" s="38">
        <f>IF(56&lt;=KALKULATOR!$C$10,KALKULATOR!$C$21,"")</f>
        <v/>
      </c>
      <c r="E64" s="38">
        <f>IF(56&lt;=KALKULATOR!$C$10,-C64*KALKULATOR!$C$9,"")</f>
        <v/>
      </c>
      <c r="F64" s="38">
        <f>IF(56&lt;=KALKULATOR!$C$10,D64-E64,"")</f>
        <v/>
      </c>
      <c r="G64" s="38">
        <f>IF(56&lt;=KALKULATOR!$C$10,C64+F64,"")</f>
        <v/>
      </c>
    </row>
    <row r="65">
      <c r="B65" s="37">
        <f>IF(57&lt;=KALKULATOR!$C$10,57,"")</f>
        <v/>
      </c>
      <c r="C65" s="38">
        <f>IF(57&lt;=KALKULATOR!$C$10,G64,"")</f>
        <v/>
      </c>
      <c r="D65" s="38">
        <f>IF(57&lt;=KALKULATOR!$C$10,KALKULATOR!$C$21,"")</f>
        <v/>
      </c>
      <c r="E65" s="38">
        <f>IF(57&lt;=KALKULATOR!$C$10,-C65*KALKULATOR!$C$9,"")</f>
        <v/>
      </c>
      <c r="F65" s="38">
        <f>IF(57&lt;=KALKULATOR!$C$10,D65-E65,"")</f>
        <v/>
      </c>
      <c r="G65" s="38">
        <f>IF(57&lt;=KALKULATOR!$C$10,C65+F65,"")</f>
        <v/>
      </c>
    </row>
    <row r="66">
      <c r="B66" s="37">
        <f>IF(58&lt;=KALKULATOR!$C$10,58,"")</f>
        <v/>
      </c>
      <c r="C66" s="38">
        <f>IF(58&lt;=KALKULATOR!$C$10,G65,"")</f>
        <v/>
      </c>
      <c r="D66" s="38">
        <f>IF(58&lt;=KALKULATOR!$C$10,KALKULATOR!$C$21,"")</f>
        <v/>
      </c>
      <c r="E66" s="38">
        <f>IF(58&lt;=KALKULATOR!$C$10,-C66*KALKULATOR!$C$9,"")</f>
        <v/>
      </c>
      <c r="F66" s="38">
        <f>IF(58&lt;=KALKULATOR!$C$10,D66-E66,"")</f>
        <v/>
      </c>
      <c r="G66" s="38">
        <f>IF(58&lt;=KALKULATOR!$C$10,C66+F66,"")</f>
        <v/>
      </c>
    </row>
    <row r="67">
      <c r="B67" s="37">
        <f>IF(59&lt;=KALKULATOR!$C$10,59,"")</f>
        <v/>
      </c>
      <c r="C67" s="38">
        <f>IF(59&lt;=KALKULATOR!$C$10,G66,"")</f>
        <v/>
      </c>
      <c r="D67" s="38">
        <f>IF(59&lt;=KALKULATOR!$C$10,KALKULATOR!$C$21,"")</f>
        <v/>
      </c>
      <c r="E67" s="38">
        <f>IF(59&lt;=KALKULATOR!$C$10,-C67*KALKULATOR!$C$9,"")</f>
        <v/>
      </c>
      <c r="F67" s="38">
        <f>IF(59&lt;=KALKULATOR!$C$10,D67-E67,"")</f>
        <v/>
      </c>
      <c r="G67" s="38">
        <f>IF(59&lt;=KALKULATOR!$C$10,C67+F67,"")</f>
        <v/>
      </c>
    </row>
    <row r="68">
      <c r="B68" s="37">
        <f>IF(60&lt;=KALKULATOR!$C$10,60,"")</f>
        <v/>
      </c>
      <c r="C68" s="38">
        <f>IF(60&lt;=KALKULATOR!$C$10,G67,"")</f>
        <v/>
      </c>
      <c r="D68" s="38">
        <f>IF(60&lt;=KALKULATOR!$C$10,KALKULATOR!$C$21,"")</f>
        <v/>
      </c>
      <c r="E68" s="38">
        <f>IF(60&lt;=KALKULATOR!$C$10,-C68*KALKULATOR!$C$9,"")</f>
        <v/>
      </c>
      <c r="F68" s="38">
        <f>IF(60&lt;=KALKULATOR!$C$10,D68-E68,"")</f>
        <v/>
      </c>
      <c r="G68" s="38">
        <f>IF(60&lt;=KALKULATOR!$C$10,C68+F68,"")</f>
        <v/>
      </c>
    </row>
    <row r="69">
      <c r="B69" s="37">
        <f>IF(61&lt;=KALKULATOR!$C$10,61,"")</f>
        <v/>
      </c>
      <c r="C69" s="38">
        <f>IF(61&lt;=KALKULATOR!$C$10,G68,"")</f>
        <v/>
      </c>
      <c r="D69" s="38">
        <f>IF(61&lt;=KALKULATOR!$C$10,KALKULATOR!$C$21,"")</f>
        <v/>
      </c>
      <c r="E69" s="38">
        <f>IF(61&lt;=KALKULATOR!$C$10,-C69*KALKULATOR!$C$9,"")</f>
        <v/>
      </c>
      <c r="F69" s="38">
        <f>IF(61&lt;=KALKULATOR!$C$10,D69-E69,"")</f>
        <v/>
      </c>
      <c r="G69" s="38">
        <f>IF(61&lt;=KALKULATOR!$C$10,C69+F69,"")</f>
        <v/>
      </c>
    </row>
    <row r="70">
      <c r="B70" s="37">
        <f>IF(62&lt;=KALKULATOR!$C$10,62,"")</f>
        <v/>
      </c>
      <c r="C70" s="38">
        <f>IF(62&lt;=KALKULATOR!$C$10,G69,"")</f>
        <v/>
      </c>
      <c r="D70" s="38">
        <f>IF(62&lt;=KALKULATOR!$C$10,KALKULATOR!$C$21,"")</f>
        <v/>
      </c>
      <c r="E70" s="38">
        <f>IF(62&lt;=KALKULATOR!$C$10,-C70*KALKULATOR!$C$9,"")</f>
        <v/>
      </c>
      <c r="F70" s="38">
        <f>IF(62&lt;=KALKULATOR!$C$10,D70-E70,"")</f>
        <v/>
      </c>
      <c r="G70" s="38">
        <f>IF(62&lt;=KALKULATOR!$C$10,C70+F70,"")</f>
        <v/>
      </c>
    </row>
    <row r="71">
      <c r="B71" s="37">
        <f>IF(63&lt;=KALKULATOR!$C$10,63,"")</f>
        <v/>
      </c>
      <c r="C71" s="38">
        <f>IF(63&lt;=KALKULATOR!$C$10,G70,"")</f>
        <v/>
      </c>
      <c r="D71" s="38">
        <f>IF(63&lt;=KALKULATOR!$C$10,KALKULATOR!$C$21,"")</f>
        <v/>
      </c>
      <c r="E71" s="38">
        <f>IF(63&lt;=KALKULATOR!$C$10,-C71*KALKULATOR!$C$9,"")</f>
        <v/>
      </c>
      <c r="F71" s="38">
        <f>IF(63&lt;=KALKULATOR!$C$10,D71-E71,"")</f>
        <v/>
      </c>
      <c r="G71" s="38">
        <f>IF(63&lt;=KALKULATOR!$C$10,C71+F71,"")</f>
        <v/>
      </c>
    </row>
    <row r="72">
      <c r="B72" s="37">
        <f>IF(64&lt;=KALKULATOR!$C$10,64,"")</f>
        <v/>
      </c>
      <c r="C72" s="38">
        <f>IF(64&lt;=KALKULATOR!$C$10,G71,"")</f>
        <v/>
      </c>
      <c r="D72" s="38">
        <f>IF(64&lt;=KALKULATOR!$C$10,KALKULATOR!$C$21,"")</f>
        <v/>
      </c>
      <c r="E72" s="38">
        <f>IF(64&lt;=KALKULATOR!$C$10,-C72*KALKULATOR!$C$9,"")</f>
        <v/>
      </c>
      <c r="F72" s="38">
        <f>IF(64&lt;=KALKULATOR!$C$10,D72-E72,"")</f>
        <v/>
      </c>
      <c r="G72" s="38">
        <f>IF(64&lt;=KALKULATOR!$C$10,C72+F72,"")</f>
        <v/>
      </c>
    </row>
    <row r="73">
      <c r="B73" s="37">
        <f>IF(65&lt;=KALKULATOR!$C$10,65,"")</f>
        <v/>
      </c>
      <c r="C73" s="38">
        <f>IF(65&lt;=KALKULATOR!$C$10,G72,"")</f>
        <v/>
      </c>
      <c r="D73" s="38">
        <f>IF(65&lt;=KALKULATOR!$C$10,KALKULATOR!$C$21,"")</f>
        <v/>
      </c>
      <c r="E73" s="38">
        <f>IF(65&lt;=KALKULATOR!$C$10,-C73*KALKULATOR!$C$9,"")</f>
        <v/>
      </c>
      <c r="F73" s="38">
        <f>IF(65&lt;=KALKULATOR!$C$10,D73-E73,"")</f>
        <v/>
      </c>
      <c r="G73" s="38">
        <f>IF(65&lt;=KALKULATOR!$C$10,C73+F73,"")</f>
        <v/>
      </c>
    </row>
    <row r="74">
      <c r="B74" s="37">
        <f>IF(66&lt;=KALKULATOR!$C$10,66,"")</f>
        <v/>
      </c>
      <c r="C74" s="38">
        <f>IF(66&lt;=KALKULATOR!$C$10,G73,"")</f>
        <v/>
      </c>
      <c r="D74" s="38">
        <f>IF(66&lt;=KALKULATOR!$C$10,KALKULATOR!$C$21,"")</f>
        <v/>
      </c>
      <c r="E74" s="38">
        <f>IF(66&lt;=KALKULATOR!$C$10,-C74*KALKULATOR!$C$9,"")</f>
        <v/>
      </c>
      <c r="F74" s="38">
        <f>IF(66&lt;=KALKULATOR!$C$10,D74-E74,"")</f>
        <v/>
      </c>
      <c r="G74" s="38">
        <f>IF(66&lt;=KALKULATOR!$C$10,C74+F74,"")</f>
        <v/>
      </c>
    </row>
    <row r="75">
      <c r="B75" s="37">
        <f>IF(67&lt;=KALKULATOR!$C$10,67,"")</f>
        <v/>
      </c>
      <c r="C75" s="38">
        <f>IF(67&lt;=KALKULATOR!$C$10,G74,"")</f>
        <v/>
      </c>
      <c r="D75" s="38">
        <f>IF(67&lt;=KALKULATOR!$C$10,KALKULATOR!$C$21,"")</f>
        <v/>
      </c>
      <c r="E75" s="38">
        <f>IF(67&lt;=KALKULATOR!$C$10,-C75*KALKULATOR!$C$9,"")</f>
        <v/>
      </c>
      <c r="F75" s="38">
        <f>IF(67&lt;=KALKULATOR!$C$10,D75-E75,"")</f>
        <v/>
      </c>
      <c r="G75" s="38">
        <f>IF(67&lt;=KALKULATOR!$C$10,C75+F75,"")</f>
        <v/>
      </c>
    </row>
    <row r="76">
      <c r="B76" s="37">
        <f>IF(68&lt;=KALKULATOR!$C$10,68,"")</f>
        <v/>
      </c>
      <c r="C76" s="38">
        <f>IF(68&lt;=KALKULATOR!$C$10,G75,"")</f>
        <v/>
      </c>
      <c r="D76" s="38">
        <f>IF(68&lt;=KALKULATOR!$C$10,KALKULATOR!$C$21,"")</f>
        <v/>
      </c>
      <c r="E76" s="38">
        <f>IF(68&lt;=KALKULATOR!$C$10,-C76*KALKULATOR!$C$9,"")</f>
        <v/>
      </c>
      <c r="F76" s="38">
        <f>IF(68&lt;=KALKULATOR!$C$10,D76-E76,"")</f>
        <v/>
      </c>
      <c r="G76" s="38">
        <f>IF(68&lt;=KALKULATOR!$C$10,C76+F76,"")</f>
        <v/>
      </c>
    </row>
    <row r="77">
      <c r="B77" s="37">
        <f>IF(69&lt;=KALKULATOR!$C$10,69,"")</f>
        <v/>
      </c>
      <c r="C77" s="38">
        <f>IF(69&lt;=KALKULATOR!$C$10,G76,"")</f>
        <v/>
      </c>
      <c r="D77" s="38">
        <f>IF(69&lt;=KALKULATOR!$C$10,KALKULATOR!$C$21,"")</f>
        <v/>
      </c>
      <c r="E77" s="38">
        <f>IF(69&lt;=KALKULATOR!$C$10,-C77*KALKULATOR!$C$9,"")</f>
        <v/>
      </c>
      <c r="F77" s="38">
        <f>IF(69&lt;=KALKULATOR!$C$10,D77-E77,"")</f>
        <v/>
      </c>
      <c r="G77" s="38">
        <f>IF(69&lt;=KALKULATOR!$C$10,C77+F77,"")</f>
        <v/>
      </c>
    </row>
    <row r="78">
      <c r="B78" s="37">
        <f>IF(70&lt;=KALKULATOR!$C$10,70,"")</f>
        <v/>
      </c>
      <c r="C78" s="38">
        <f>IF(70&lt;=KALKULATOR!$C$10,G77,"")</f>
        <v/>
      </c>
      <c r="D78" s="38">
        <f>IF(70&lt;=KALKULATOR!$C$10,KALKULATOR!$C$21,"")</f>
        <v/>
      </c>
      <c r="E78" s="38">
        <f>IF(70&lt;=KALKULATOR!$C$10,-C78*KALKULATOR!$C$9,"")</f>
        <v/>
      </c>
      <c r="F78" s="38">
        <f>IF(70&lt;=KALKULATOR!$C$10,D78-E78,"")</f>
        <v/>
      </c>
      <c r="G78" s="38">
        <f>IF(70&lt;=KALKULATOR!$C$10,C78+F78,"")</f>
        <v/>
      </c>
    </row>
    <row r="79">
      <c r="B79" s="37">
        <f>IF(71&lt;=KALKULATOR!$C$10,71,"")</f>
        <v/>
      </c>
      <c r="C79" s="38">
        <f>IF(71&lt;=KALKULATOR!$C$10,G78,"")</f>
        <v/>
      </c>
      <c r="D79" s="38">
        <f>IF(71&lt;=KALKULATOR!$C$10,KALKULATOR!$C$21,"")</f>
        <v/>
      </c>
      <c r="E79" s="38">
        <f>IF(71&lt;=KALKULATOR!$C$10,-C79*KALKULATOR!$C$9,"")</f>
        <v/>
      </c>
      <c r="F79" s="38">
        <f>IF(71&lt;=KALKULATOR!$C$10,D79-E79,"")</f>
        <v/>
      </c>
      <c r="G79" s="38">
        <f>IF(71&lt;=KALKULATOR!$C$10,C79+F79,"")</f>
        <v/>
      </c>
    </row>
    <row r="80">
      <c r="B80" s="37">
        <f>IF(72&lt;=KALKULATOR!$C$10,72,"")</f>
        <v/>
      </c>
      <c r="C80" s="38">
        <f>IF(72&lt;=KALKULATOR!$C$10,G79,"")</f>
        <v/>
      </c>
      <c r="D80" s="38">
        <f>IF(72&lt;=KALKULATOR!$C$10,KALKULATOR!$C$21,"")</f>
        <v/>
      </c>
      <c r="E80" s="38">
        <f>IF(72&lt;=KALKULATOR!$C$10,-C80*KALKULATOR!$C$9,"")</f>
        <v/>
      </c>
      <c r="F80" s="38">
        <f>IF(72&lt;=KALKULATOR!$C$10,D80-E80,"")</f>
        <v/>
      </c>
      <c r="G80" s="38">
        <f>IF(72&lt;=KALKULATOR!$C$10,C80+F80,"")</f>
        <v/>
      </c>
    </row>
    <row r="81">
      <c r="B81" s="37">
        <f>IF(73&lt;=KALKULATOR!$C$10,73,"")</f>
        <v/>
      </c>
      <c r="C81" s="38">
        <f>IF(73&lt;=KALKULATOR!$C$10,G80,"")</f>
        <v/>
      </c>
      <c r="D81" s="38">
        <f>IF(73&lt;=KALKULATOR!$C$10,KALKULATOR!$C$21,"")</f>
        <v/>
      </c>
      <c r="E81" s="38">
        <f>IF(73&lt;=KALKULATOR!$C$10,-C81*KALKULATOR!$C$9,"")</f>
        <v/>
      </c>
      <c r="F81" s="38">
        <f>IF(73&lt;=KALKULATOR!$C$10,D81-E81,"")</f>
        <v/>
      </c>
      <c r="G81" s="38">
        <f>IF(73&lt;=KALKULATOR!$C$10,C81+F81,"")</f>
        <v/>
      </c>
    </row>
    <row r="82">
      <c r="B82" s="37">
        <f>IF(74&lt;=KALKULATOR!$C$10,74,"")</f>
        <v/>
      </c>
      <c r="C82" s="38">
        <f>IF(74&lt;=KALKULATOR!$C$10,G81,"")</f>
        <v/>
      </c>
      <c r="D82" s="38">
        <f>IF(74&lt;=KALKULATOR!$C$10,KALKULATOR!$C$21,"")</f>
        <v/>
      </c>
      <c r="E82" s="38">
        <f>IF(74&lt;=KALKULATOR!$C$10,-C82*KALKULATOR!$C$9,"")</f>
        <v/>
      </c>
      <c r="F82" s="38">
        <f>IF(74&lt;=KALKULATOR!$C$10,D82-E82,"")</f>
        <v/>
      </c>
      <c r="G82" s="38">
        <f>IF(74&lt;=KALKULATOR!$C$10,C82+F82,"")</f>
        <v/>
      </c>
    </row>
    <row r="83">
      <c r="B83" s="37">
        <f>IF(75&lt;=KALKULATOR!$C$10,75,"")</f>
        <v/>
      </c>
      <c r="C83" s="38">
        <f>IF(75&lt;=KALKULATOR!$C$10,G82,"")</f>
        <v/>
      </c>
      <c r="D83" s="38">
        <f>IF(75&lt;=KALKULATOR!$C$10,KALKULATOR!$C$21,"")</f>
        <v/>
      </c>
      <c r="E83" s="38">
        <f>IF(75&lt;=KALKULATOR!$C$10,-C83*KALKULATOR!$C$9,"")</f>
        <v/>
      </c>
      <c r="F83" s="38">
        <f>IF(75&lt;=KALKULATOR!$C$10,D83-E83,"")</f>
        <v/>
      </c>
      <c r="G83" s="38">
        <f>IF(75&lt;=KALKULATOR!$C$10,C83+F83,"")</f>
        <v/>
      </c>
    </row>
    <row r="84">
      <c r="B84" s="37">
        <f>IF(76&lt;=KALKULATOR!$C$10,76,"")</f>
        <v/>
      </c>
      <c r="C84" s="38">
        <f>IF(76&lt;=KALKULATOR!$C$10,G83,"")</f>
        <v/>
      </c>
      <c r="D84" s="38">
        <f>IF(76&lt;=KALKULATOR!$C$10,KALKULATOR!$C$21,"")</f>
        <v/>
      </c>
      <c r="E84" s="38">
        <f>IF(76&lt;=KALKULATOR!$C$10,-C84*KALKULATOR!$C$9,"")</f>
        <v/>
      </c>
      <c r="F84" s="38">
        <f>IF(76&lt;=KALKULATOR!$C$10,D84-E84,"")</f>
        <v/>
      </c>
      <c r="G84" s="38">
        <f>IF(76&lt;=KALKULATOR!$C$10,C84+F84,"")</f>
        <v/>
      </c>
    </row>
    <row r="85">
      <c r="B85" s="37">
        <f>IF(77&lt;=KALKULATOR!$C$10,77,"")</f>
        <v/>
      </c>
      <c r="C85" s="38">
        <f>IF(77&lt;=KALKULATOR!$C$10,G84,"")</f>
        <v/>
      </c>
      <c r="D85" s="38">
        <f>IF(77&lt;=KALKULATOR!$C$10,KALKULATOR!$C$21,"")</f>
        <v/>
      </c>
      <c r="E85" s="38">
        <f>IF(77&lt;=KALKULATOR!$C$10,-C85*KALKULATOR!$C$9,"")</f>
        <v/>
      </c>
      <c r="F85" s="38">
        <f>IF(77&lt;=KALKULATOR!$C$10,D85-E85,"")</f>
        <v/>
      </c>
      <c r="G85" s="38">
        <f>IF(77&lt;=KALKULATOR!$C$10,C85+F85,"")</f>
        <v/>
      </c>
    </row>
    <row r="86">
      <c r="B86" s="37">
        <f>IF(78&lt;=KALKULATOR!$C$10,78,"")</f>
        <v/>
      </c>
      <c r="C86" s="38">
        <f>IF(78&lt;=KALKULATOR!$C$10,G85,"")</f>
        <v/>
      </c>
      <c r="D86" s="38">
        <f>IF(78&lt;=KALKULATOR!$C$10,KALKULATOR!$C$21,"")</f>
        <v/>
      </c>
      <c r="E86" s="38">
        <f>IF(78&lt;=KALKULATOR!$C$10,-C86*KALKULATOR!$C$9,"")</f>
        <v/>
      </c>
      <c r="F86" s="38">
        <f>IF(78&lt;=KALKULATOR!$C$10,D86-E86,"")</f>
        <v/>
      </c>
      <c r="G86" s="38">
        <f>IF(78&lt;=KALKULATOR!$C$10,C86+F86,"")</f>
        <v/>
      </c>
    </row>
    <row r="87">
      <c r="B87" s="37">
        <f>IF(79&lt;=KALKULATOR!$C$10,79,"")</f>
        <v/>
      </c>
      <c r="C87" s="38">
        <f>IF(79&lt;=KALKULATOR!$C$10,G86,"")</f>
        <v/>
      </c>
      <c r="D87" s="38">
        <f>IF(79&lt;=KALKULATOR!$C$10,KALKULATOR!$C$21,"")</f>
        <v/>
      </c>
      <c r="E87" s="38">
        <f>IF(79&lt;=KALKULATOR!$C$10,-C87*KALKULATOR!$C$9,"")</f>
        <v/>
      </c>
      <c r="F87" s="38">
        <f>IF(79&lt;=KALKULATOR!$C$10,D87-E87,"")</f>
        <v/>
      </c>
      <c r="G87" s="38">
        <f>IF(79&lt;=KALKULATOR!$C$10,C87+F87,"")</f>
        <v/>
      </c>
    </row>
    <row r="88">
      <c r="B88" s="37">
        <f>IF(80&lt;=KALKULATOR!$C$10,80,"")</f>
        <v/>
      </c>
      <c r="C88" s="38">
        <f>IF(80&lt;=KALKULATOR!$C$10,G87,"")</f>
        <v/>
      </c>
      <c r="D88" s="38">
        <f>IF(80&lt;=KALKULATOR!$C$10,KALKULATOR!$C$21,"")</f>
        <v/>
      </c>
      <c r="E88" s="38">
        <f>IF(80&lt;=KALKULATOR!$C$10,-C88*KALKULATOR!$C$9,"")</f>
        <v/>
      </c>
      <c r="F88" s="38">
        <f>IF(80&lt;=KALKULATOR!$C$10,D88-E88,"")</f>
        <v/>
      </c>
      <c r="G88" s="38">
        <f>IF(80&lt;=KALKULATOR!$C$10,C88+F88,"")</f>
        <v/>
      </c>
    </row>
    <row r="89">
      <c r="B89" s="37">
        <f>IF(81&lt;=KALKULATOR!$C$10,81,"")</f>
        <v/>
      </c>
      <c r="C89" s="38">
        <f>IF(81&lt;=KALKULATOR!$C$10,G88,"")</f>
        <v/>
      </c>
      <c r="D89" s="38">
        <f>IF(81&lt;=KALKULATOR!$C$10,KALKULATOR!$C$21,"")</f>
        <v/>
      </c>
      <c r="E89" s="38">
        <f>IF(81&lt;=KALKULATOR!$C$10,-C89*KALKULATOR!$C$9,"")</f>
        <v/>
      </c>
      <c r="F89" s="38">
        <f>IF(81&lt;=KALKULATOR!$C$10,D89-E89,"")</f>
        <v/>
      </c>
      <c r="G89" s="38">
        <f>IF(81&lt;=KALKULATOR!$C$10,C89+F89,"")</f>
        <v/>
      </c>
    </row>
    <row r="90">
      <c r="B90" s="37">
        <f>IF(82&lt;=KALKULATOR!$C$10,82,"")</f>
        <v/>
      </c>
      <c r="C90" s="38">
        <f>IF(82&lt;=KALKULATOR!$C$10,G89,"")</f>
        <v/>
      </c>
      <c r="D90" s="38">
        <f>IF(82&lt;=KALKULATOR!$C$10,KALKULATOR!$C$21,"")</f>
        <v/>
      </c>
      <c r="E90" s="38">
        <f>IF(82&lt;=KALKULATOR!$C$10,-C90*KALKULATOR!$C$9,"")</f>
        <v/>
      </c>
      <c r="F90" s="38">
        <f>IF(82&lt;=KALKULATOR!$C$10,D90-E90,"")</f>
        <v/>
      </c>
      <c r="G90" s="38">
        <f>IF(82&lt;=KALKULATOR!$C$10,C90+F90,"")</f>
        <v/>
      </c>
    </row>
    <row r="91">
      <c r="B91" s="37">
        <f>IF(83&lt;=KALKULATOR!$C$10,83,"")</f>
        <v/>
      </c>
      <c r="C91" s="38">
        <f>IF(83&lt;=KALKULATOR!$C$10,G90,"")</f>
        <v/>
      </c>
      <c r="D91" s="38">
        <f>IF(83&lt;=KALKULATOR!$C$10,KALKULATOR!$C$21,"")</f>
        <v/>
      </c>
      <c r="E91" s="38">
        <f>IF(83&lt;=KALKULATOR!$C$10,-C91*KALKULATOR!$C$9,"")</f>
        <v/>
      </c>
      <c r="F91" s="38">
        <f>IF(83&lt;=KALKULATOR!$C$10,D91-E91,"")</f>
        <v/>
      </c>
      <c r="G91" s="38">
        <f>IF(83&lt;=KALKULATOR!$C$10,C91+F91,"")</f>
        <v/>
      </c>
    </row>
    <row r="92">
      <c r="B92" s="37">
        <f>IF(84&lt;=KALKULATOR!$C$10,84,"")</f>
        <v/>
      </c>
      <c r="C92" s="38">
        <f>IF(84&lt;=KALKULATOR!$C$10,G91,"")</f>
        <v/>
      </c>
      <c r="D92" s="38">
        <f>IF(84&lt;=KALKULATOR!$C$10,KALKULATOR!$C$21,"")</f>
        <v/>
      </c>
      <c r="E92" s="38">
        <f>IF(84&lt;=KALKULATOR!$C$10,-C92*KALKULATOR!$C$9,"")</f>
        <v/>
      </c>
      <c r="F92" s="38">
        <f>IF(84&lt;=KALKULATOR!$C$10,D92-E92,"")</f>
        <v/>
      </c>
      <c r="G92" s="38">
        <f>IF(84&lt;=KALKULATOR!$C$10,C92+F92,"")</f>
        <v/>
      </c>
    </row>
    <row r="93">
      <c r="B93" s="37">
        <f>IF(85&lt;=KALKULATOR!$C$10,85,"")</f>
        <v/>
      </c>
      <c r="C93" s="38">
        <f>IF(85&lt;=KALKULATOR!$C$10,G92,"")</f>
        <v/>
      </c>
      <c r="D93" s="38">
        <f>IF(85&lt;=KALKULATOR!$C$10,KALKULATOR!$C$21,"")</f>
        <v/>
      </c>
      <c r="E93" s="38">
        <f>IF(85&lt;=KALKULATOR!$C$10,-C93*KALKULATOR!$C$9,"")</f>
        <v/>
      </c>
      <c r="F93" s="38">
        <f>IF(85&lt;=KALKULATOR!$C$10,D93-E93,"")</f>
        <v/>
      </c>
      <c r="G93" s="38">
        <f>IF(85&lt;=KALKULATOR!$C$10,C93+F93,"")</f>
        <v/>
      </c>
    </row>
    <row r="94">
      <c r="B94" s="37">
        <f>IF(86&lt;=KALKULATOR!$C$10,86,"")</f>
        <v/>
      </c>
      <c r="C94" s="38">
        <f>IF(86&lt;=KALKULATOR!$C$10,G93,"")</f>
        <v/>
      </c>
      <c r="D94" s="38">
        <f>IF(86&lt;=KALKULATOR!$C$10,KALKULATOR!$C$21,"")</f>
        <v/>
      </c>
      <c r="E94" s="38">
        <f>IF(86&lt;=KALKULATOR!$C$10,-C94*KALKULATOR!$C$9,"")</f>
        <v/>
      </c>
      <c r="F94" s="38">
        <f>IF(86&lt;=KALKULATOR!$C$10,D94-E94,"")</f>
        <v/>
      </c>
      <c r="G94" s="38">
        <f>IF(86&lt;=KALKULATOR!$C$10,C94+F94,"")</f>
        <v/>
      </c>
    </row>
    <row r="95">
      <c r="B95" s="37">
        <f>IF(87&lt;=KALKULATOR!$C$10,87,"")</f>
        <v/>
      </c>
      <c r="C95" s="38">
        <f>IF(87&lt;=KALKULATOR!$C$10,G94,"")</f>
        <v/>
      </c>
      <c r="D95" s="38">
        <f>IF(87&lt;=KALKULATOR!$C$10,KALKULATOR!$C$21,"")</f>
        <v/>
      </c>
      <c r="E95" s="38">
        <f>IF(87&lt;=KALKULATOR!$C$10,-C95*KALKULATOR!$C$9,"")</f>
        <v/>
      </c>
      <c r="F95" s="38">
        <f>IF(87&lt;=KALKULATOR!$C$10,D95-E95,"")</f>
        <v/>
      </c>
      <c r="G95" s="38">
        <f>IF(87&lt;=KALKULATOR!$C$10,C95+F95,"")</f>
        <v/>
      </c>
    </row>
    <row r="96">
      <c r="B96" s="37">
        <f>IF(88&lt;=KALKULATOR!$C$10,88,"")</f>
        <v/>
      </c>
      <c r="C96" s="38">
        <f>IF(88&lt;=KALKULATOR!$C$10,G95,"")</f>
        <v/>
      </c>
      <c r="D96" s="38">
        <f>IF(88&lt;=KALKULATOR!$C$10,KALKULATOR!$C$21,"")</f>
        <v/>
      </c>
      <c r="E96" s="38">
        <f>IF(88&lt;=KALKULATOR!$C$10,-C96*KALKULATOR!$C$9,"")</f>
        <v/>
      </c>
      <c r="F96" s="38">
        <f>IF(88&lt;=KALKULATOR!$C$10,D96-E96,"")</f>
        <v/>
      </c>
      <c r="G96" s="38">
        <f>IF(88&lt;=KALKULATOR!$C$10,C96+F96,"")</f>
        <v/>
      </c>
    </row>
    <row r="97">
      <c r="B97" s="37">
        <f>IF(89&lt;=KALKULATOR!$C$10,89,"")</f>
        <v/>
      </c>
      <c r="C97" s="38">
        <f>IF(89&lt;=KALKULATOR!$C$10,G96,"")</f>
        <v/>
      </c>
      <c r="D97" s="38">
        <f>IF(89&lt;=KALKULATOR!$C$10,KALKULATOR!$C$21,"")</f>
        <v/>
      </c>
      <c r="E97" s="38">
        <f>IF(89&lt;=KALKULATOR!$C$10,-C97*KALKULATOR!$C$9,"")</f>
        <v/>
      </c>
      <c r="F97" s="38">
        <f>IF(89&lt;=KALKULATOR!$C$10,D97-E97,"")</f>
        <v/>
      </c>
      <c r="G97" s="38">
        <f>IF(89&lt;=KALKULATOR!$C$10,C97+F97,"")</f>
        <v/>
      </c>
    </row>
    <row r="98">
      <c r="B98" s="37">
        <f>IF(90&lt;=KALKULATOR!$C$10,90,"")</f>
        <v/>
      </c>
      <c r="C98" s="38">
        <f>IF(90&lt;=KALKULATOR!$C$10,G97,"")</f>
        <v/>
      </c>
      <c r="D98" s="38">
        <f>IF(90&lt;=KALKULATOR!$C$10,KALKULATOR!$C$21,"")</f>
        <v/>
      </c>
      <c r="E98" s="38">
        <f>IF(90&lt;=KALKULATOR!$C$10,-C98*KALKULATOR!$C$9,"")</f>
        <v/>
      </c>
      <c r="F98" s="38">
        <f>IF(90&lt;=KALKULATOR!$C$10,D98-E98,"")</f>
        <v/>
      </c>
      <c r="G98" s="38">
        <f>IF(90&lt;=KALKULATOR!$C$10,C98+F98,"")</f>
        <v/>
      </c>
    </row>
    <row r="99">
      <c r="B99" s="37">
        <f>IF(91&lt;=KALKULATOR!$C$10,91,"")</f>
        <v/>
      </c>
      <c r="C99" s="38">
        <f>IF(91&lt;=KALKULATOR!$C$10,G98,"")</f>
        <v/>
      </c>
      <c r="D99" s="38">
        <f>IF(91&lt;=KALKULATOR!$C$10,KALKULATOR!$C$21,"")</f>
        <v/>
      </c>
      <c r="E99" s="38">
        <f>IF(91&lt;=KALKULATOR!$C$10,-C99*KALKULATOR!$C$9,"")</f>
        <v/>
      </c>
      <c r="F99" s="38">
        <f>IF(91&lt;=KALKULATOR!$C$10,D99-E99,"")</f>
        <v/>
      </c>
      <c r="G99" s="38">
        <f>IF(91&lt;=KALKULATOR!$C$10,C99+F99,"")</f>
        <v/>
      </c>
    </row>
    <row r="100">
      <c r="B100" s="37">
        <f>IF(92&lt;=KALKULATOR!$C$10,92,"")</f>
        <v/>
      </c>
      <c r="C100" s="38">
        <f>IF(92&lt;=KALKULATOR!$C$10,G99,"")</f>
        <v/>
      </c>
      <c r="D100" s="38">
        <f>IF(92&lt;=KALKULATOR!$C$10,KALKULATOR!$C$21,"")</f>
        <v/>
      </c>
      <c r="E100" s="38">
        <f>IF(92&lt;=KALKULATOR!$C$10,-C100*KALKULATOR!$C$9,"")</f>
        <v/>
      </c>
      <c r="F100" s="38">
        <f>IF(92&lt;=KALKULATOR!$C$10,D100-E100,"")</f>
        <v/>
      </c>
      <c r="G100" s="38">
        <f>IF(92&lt;=KALKULATOR!$C$10,C100+F100,"")</f>
        <v/>
      </c>
    </row>
    <row r="101">
      <c r="B101" s="37">
        <f>IF(93&lt;=KALKULATOR!$C$10,93,"")</f>
        <v/>
      </c>
      <c r="C101" s="38">
        <f>IF(93&lt;=KALKULATOR!$C$10,G100,"")</f>
        <v/>
      </c>
      <c r="D101" s="38">
        <f>IF(93&lt;=KALKULATOR!$C$10,KALKULATOR!$C$21,"")</f>
        <v/>
      </c>
      <c r="E101" s="38">
        <f>IF(93&lt;=KALKULATOR!$C$10,-C101*KALKULATOR!$C$9,"")</f>
        <v/>
      </c>
      <c r="F101" s="38">
        <f>IF(93&lt;=KALKULATOR!$C$10,D101-E101,"")</f>
        <v/>
      </c>
      <c r="G101" s="38">
        <f>IF(93&lt;=KALKULATOR!$C$10,C101+F101,"")</f>
        <v/>
      </c>
    </row>
    <row r="102">
      <c r="B102" s="37">
        <f>IF(94&lt;=KALKULATOR!$C$10,94,"")</f>
        <v/>
      </c>
      <c r="C102" s="38">
        <f>IF(94&lt;=KALKULATOR!$C$10,G101,"")</f>
        <v/>
      </c>
      <c r="D102" s="38">
        <f>IF(94&lt;=KALKULATOR!$C$10,KALKULATOR!$C$21,"")</f>
        <v/>
      </c>
      <c r="E102" s="38">
        <f>IF(94&lt;=KALKULATOR!$C$10,-C102*KALKULATOR!$C$9,"")</f>
        <v/>
      </c>
      <c r="F102" s="38">
        <f>IF(94&lt;=KALKULATOR!$C$10,D102-E102,"")</f>
        <v/>
      </c>
      <c r="G102" s="38">
        <f>IF(94&lt;=KALKULATOR!$C$10,C102+F102,"")</f>
        <v/>
      </c>
    </row>
    <row r="103">
      <c r="B103" s="37">
        <f>IF(95&lt;=KALKULATOR!$C$10,95,"")</f>
        <v/>
      </c>
      <c r="C103" s="38">
        <f>IF(95&lt;=KALKULATOR!$C$10,G102,"")</f>
        <v/>
      </c>
      <c r="D103" s="38">
        <f>IF(95&lt;=KALKULATOR!$C$10,KALKULATOR!$C$21,"")</f>
        <v/>
      </c>
      <c r="E103" s="38">
        <f>IF(95&lt;=KALKULATOR!$C$10,-C103*KALKULATOR!$C$9,"")</f>
        <v/>
      </c>
      <c r="F103" s="38">
        <f>IF(95&lt;=KALKULATOR!$C$10,D103-E103,"")</f>
        <v/>
      </c>
      <c r="G103" s="38">
        <f>IF(95&lt;=KALKULATOR!$C$10,C103+F103,"")</f>
        <v/>
      </c>
    </row>
    <row r="104">
      <c r="B104" s="37">
        <f>IF(96&lt;=KALKULATOR!$C$10,96,"")</f>
        <v/>
      </c>
      <c r="C104" s="38">
        <f>IF(96&lt;=KALKULATOR!$C$10,G103,"")</f>
        <v/>
      </c>
      <c r="D104" s="38">
        <f>IF(96&lt;=KALKULATOR!$C$10,KALKULATOR!$C$21,"")</f>
        <v/>
      </c>
      <c r="E104" s="38">
        <f>IF(96&lt;=KALKULATOR!$C$10,-C104*KALKULATOR!$C$9,"")</f>
        <v/>
      </c>
      <c r="F104" s="38">
        <f>IF(96&lt;=KALKULATOR!$C$10,D104-E104,"")</f>
        <v/>
      </c>
      <c r="G104" s="38">
        <f>IF(96&lt;=KALKULATOR!$C$10,C104+F104,"")</f>
        <v/>
      </c>
    </row>
    <row r="105">
      <c r="B105" s="37">
        <f>IF(97&lt;=KALKULATOR!$C$10,97,"")</f>
        <v/>
      </c>
      <c r="C105" s="38">
        <f>IF(97&lt;=KALKULATOR!$C$10,G104,"")</f>
        <v/>
      </c>
      <c r="D105" s="38">
        <f>IF(97&lt;=KALKULATOR!$C$10,KALKULATOR!$C$21,"")</f>
        <v/>
      </c>
      <c r="E105" s="38">
        <f>IF(97&lt;=KALKULATOR!$C$10,-C105*KALKULATOR!$C$9,"")</f>
        <v/>
      </c>
      <c r="F105" s="38">
        <f>IF(97&lt;=KALKULATOR!$C$10,D105-E105,"")</f>
        <v/>
      </c>
      <c r="G105" s="38">
        <f>IF(97&lt;=KALKULATOR!$C$10,C105+F105,"")</f>
        <v/>
      </c>
    </row>
    <row r="106">
      <c r="B106" s="37">
        <f>IF(98&lt;=KALKULATOR!$C$10,98,"")</f>
        <v/>
      </c>
      <c r="C106" s="38">
        <f>IF(98&lt;=KALKULATOR!$C$10,G105,"")</f>
        <v/>
      </c>
      <c r="D106" s="38">
        <f>IF(98&lt;=KALKULATOR!$C$10,KALKULATOR!$C$21,"")</f>
        <v/>
      </c>
      <c r="E106" s="38">
        <f>IF(98&lt;=KALKULATOR!$C$10,-C106*KALKULATOR!$C$9,"")</f>
        <v/>
      </c>
      <c r="F106" s="38">
        <f>IF(98&lt;=KALKULATOR!$C$10,D106-E106,"")</f>
        <v/>
      </c>
      <c r="G106" s="38">
        <f>IF(98&lt;=KALKULATOR!$C$10,C106+F106,"")</f>
        <v/>
      </c>
    </row>
    <row r="107">
      <c r="B107" s="37">
        <f>IF(99&lt;=KALKULATOR!$C$10,99,"")</f>
        <v/>
      </c>
      <c r="C107" s="38">
        <f>IF(99&lt;=KALKULATOR!$C$10,G106,"")</f>
        <v/>
      </c>
      <c r="D107" s="38">
        <f>IF(99&lt;=KALKULATOR!$C$10,KALKULATOR!$C$21,"")</f>
        <v/>
      </c>
      <c r="E107" s="38">
        <f>IF(99&lt;=KALKULATOR!$C$10,-C107*KALKULATOR!$C$9,"")</f>
        <v/>
      </c>
      <c r="F107" s="38">
        <f>IF(99&lt;=KALKULATOR!$C$10,D107-E107,"")</f>
        <v/>
      </c>
      <c r="G107" s="38">
        <f>IF(99&lt;=KALKULATOR!$C$10,C107+F107,"")</f>
        <v/>
      </c>
    </row>
    <row r="108">
      <c r="B108" s="37">
        <f>IF(100&lt;=KALKULATOR!$C$10,100,"")</f>
        <v/>
      </c>
      <c r="C108" s="38">
        <f>IF(100&lt;=KALKULATOR!$C$10,G107,"")</f>
        <v/>
      </c>
      <c r="D108" s="38">
        <f>IF(100&lt;=KALKULATOR!$C$10,KALKULATOR!$C$21,"")</f>
        <v/>
      </c>
      <c r="E108" s="38">
        <f>IF(100&lt;=KALKULATOR!$C$10,-C108*KALKULATOR!$C$9,"")</f>
        <v/>
      </c>
      <c r="F108" s="38">
        <f>IF(100&lt;=KALKULATOR!$C$10,D108-E108,"")</f>
        <v/>
      </c>
      <c r="G108" s="38">
        <f>IF(100&lt;=KALKULATOR!$C$10,C108+F108,"")</f>
        <v/>
      </c>
    </row>
    <row r="109">
      <c r="B109" s="37">
        <f>IF(101&lt;=KALKULATOR!$C$10,101,"")</f>
        <v/>
      </c>
      <c r="C109" s="38">
        <f>IF(101&lt;=KALKULATOR!$C$10,G108,"")</f>
        <v/>
      </c>
      <c r="D109" s="38">
        <f>IF(101&lt;=KALKULATOR!$C$10,KALKULATOR!$C$21,"")</f>
        <v/>
      </c>
      <c r="E109" s="38">
        <f>IF(101&lt;=KALKULATOR!$C$10,-C109*KALKULATOR!$C$9,"")</f>
        <v/>
      </c>
      <c r="F109" s="38">
        <f>IF(101&lt;=KALKULATOR!$C$10,D109-E109,"")</f>
        <v/>
      </c>
      <c r="G109" s="38">
        <f>IF(101&lt;=KALKULATOR!$C$10,C109+F109,"")</f>
        <v/>
      </c>
    </row>
    <row r="110">
      <c r="B110" s="37">
        <f>IF(102&lt;=KALKULATOR!$C$10,102,"")</f>
        <v/>
      </c>
      <c r="C110" s="38">
        <f>IF(102&lt;=KALKULATOR!$C$10,G109,"")</f>
        <v/>
      </c>
      <c r="D110" s="38">
        <f>IF(102&lt;=KALKULATOR!$C$10,KALKULATOR!$C$21,"")</f>
        <v/>
      </c>
      <c r="E110" s="38">
        <f>IF(102&lt;=KALKULATOR!$C$10,-C110*KALKULATOR!$C$9,"")</f>
        <v/>
      </c>
      <c r="F110" s="38">
        <f>IF(102&lt;=KALKULATOR!$C$10,D110-E110,"")</f>
        <v/>
      </c>
      <c r="G110" s="38">
        <f>IF(102&lt;=KALKULATOR!$C$10,C110+F110,"")</f>
        <v/>
      </c>
    </row>
    <row r="111">
      <c r="B111" s="37">
        <f>IF(103&lt;=KALKULATOR!$C$10,103,"")</f>
        <v/>
      </c>
      <c r="C111" s="38">
        <f>IF(103&lt;=KALKULATOR!$C$10,G110,"")</f>
        <v/>
      </c>
      <c r="D111" s="38">
        <f>IF(103&lt;=KALKULATOR!$C$10,KALKULATOR!$C$21,"")</f>
        <v/>
      </c>
      <c r="E111" s="38">
        <f>IF(103&lt;=KALKULATOR!$C$10,-C111*KALKULATOR!$C$9,"")</f>
        <v/>
      </c>
      <c r="F111" s="38">
        <f>IF(103&lt;=KALKULATOR!$C$10,D111-E111,"")</f>
        <v/>
      </c>
      <c r="G111" s="38">
        <f>IF(103&lt;=KALKULATOR!$C$10,C111+F111,"")</f>
        <v/>
      </c>
    </row>
    <row r="112">
      <c r="B112" s="37">
        <f>IF(104&lt;=KALKULATOR!$C$10,104,"")</f>
        <v/>
      </c>
      <c r="C112" s="38">
        <f>IF(104&lt;=KALKULATOR!$C$10,G111,"")</f>
        <v/>
      </c>
      <c r="D112" s="38">
        <f>IF(104&lt;=KALKULATOR!$C$10,KALKULATOR!$C$21,"")</f>
        <v/>
      </c>
      <c r="E112" s="38">
        <f>IF(104&lt;=KALKULATOR!$C$10,-C112*KALKULATOR!$C$9,"")</f>
        <v/>
      </c>
      <c r="F112" s="38">
        <f>IF(104&lt;=KALKULATOR!$C$10,D112-E112,"")</f>
        <v/>
      </c>
      <c r="G112" s="38">
        <f>IF(104&lt;=KALKULATOR!$C$10,C112+F112,"")</f>
        <v/>
      </c>
    </row>
    <row r="113">
      <c r="B113" s="37">
        <f>IF(105&lt;=KALKULATOR!$C$10,105,"")</f>
        <v/>
      </c>
      <c r="C113" s="38">
        <f>IF(105&lt;=KALKULATOR!$C$10,G112,"")</f>
        <v/>
      </c>
      <c r="D113" s="38">
        <f>IF(105&lt;=KALKULATOR!$C$10,KALKULATOR!$C$21,"")</f>
        <v/>
      </c>
      <c r="E113" s="38">
        <f>IF(105&lt;=KALKULATOR!$C$10,-C113*KALKULATOR!$C$9,"")</f>
        <v/>
      </c>
      <c r="F113" s="38">
        <f>IF(105&lt;=KALKULATOR!$C$10,D113-E113,"")</f>
        <v/>
      </c>
      <c r="G113" s="38">
        <f>IF(105&lt;=KALKULATOR!$C$10,C113+F113,"")</f>
        <v/>
      </c>
    </row>
    <row r="114">
      <c r="B114" s="37">
        <f>IF(106&lt;=KALKULATOR!$C$10,106,"")</f>
        <v/>
      </c>
      <c r="C114" s="38">
        <f>IF(106&lt;=KALKULATOR!$C$10,G113,"")</f>
        <v/>
      </c>
      <c r="D114" s="38">
        <f>IF(106&lt;=KALKULATOR!$C$10,KALKULATOR!$C$21,"")</f>
        <v/>
      </c>
      <c r="E114" s="38">
        <f>IF(106&lt;=KALKULATOR!$C$10,-C114*KALKULATOR!$C$9,"")</f>
        <v/>
      </c>
      <c r="F114" s="38">
        <f>IF(106&lt;=KALKULATOR!$C$10,D114-E114,"")</f>
        <v/>
      </c>
      <c r="G114" s="38">
        <f>IF(106&lt;=KALKULATOR!$C$10,C114+F114,"")</f>
        <v/>
      </c>
    </row>
    <row r="115">
      <c r="B115" s="37">
        <f>IF(107&lt;=KALKULATOR!$C$10,107,"")</f>
        <v/>
      </c>
      <c r="C115" s="38">
        <f>IF(107&lt;=KALKULATOR!$C$10,G114,"")</f>
        <v/>
      </c>
      <c r="D115" s="38">
        <f>IF(107&lt;=KALKULATOR!$C$10,KALKULATOR!$C$21,"")</f>
        <v/>
      </c>
      <c r="E115" s="38">
        <f>IF(107&lt;=KALKULATOR!$C$10,-C115*KALKULATOR!$C$9,"")</f>
        <v/>
      </c>
      <c r="F115" s="38">
        <f>IF(107&lt;=KALKULATOR!$C$10,D115-E115,"")</f>
        <v/>
      </c>
      <c r="G115" s="38">
        <f>IF(107&lt;=KALKULATOR!$C$10,C115+F115,"")</f>
        <v/>
      </c>
    </row>
    <row r="116">
      <c r="B116" s="37">
        <f>IF(108&lt;=KALKULATOR!$C$10,108,"")</f>
        <v/>
      </c>
      <c r="C116" s="38">
        <f>IF(108&lt;=KALKULATOR!$C$10,G115,"")</f>
        <v/>
      </c>
      <c r="D116" s="38">
        <f>IF(108&lt;=KALKULATOR!$C$10,KALKULATOR!$C$21,"")</f>
        <v/>
      </c>
      <c r="E116" s="38">
        <f>IF(108&lt;=KALKULATOR!$C$10,-C116*KALKULATOR!$C$9,"")</f>
        <v/>
      </c>
      <c r="F116" s="38">
        <f>IF(108&lt;=KALKULATOR!$C$10,D116-E116,"")</f>
        <v/>
      </c>
      <c r="G116" s="38">
        <f>IF(108&lt;=KALKULATOR!$C$10,C116+F116,"")</f>
        <v/>
      </c>
    </row>
    <row r="117">
      <c r="B117" s="37">
        <f>IF(109&lt;=KALKULATOR!$C$10,109,"")</f>
        <v/>
      </c>
      <c r="C117" s="38">
        <f>IF(109&lt;=KALKULATOR!$C$10,G116,"")</f>
        <v/>
      </c>
      <c r="D117" s="38">
        <f>IF(109&lt;=KALKULATOR!$C$10,KALKULATOR!$C$21,"")</f>
        <v/>
      </c>
      <c r="E117" s="38">
        <f>IF(109&lt;=KALKULATOR!$C$10,-C117*KALKULATOR!$C$9,"")</f>
        <v/>
      </c>
      <c r="F117" s="38">
        <f>IF(109&lt;=KALKULATOR!$C$10,D117-E117,"")</f>
        <v/>
      </c>
      <c r="G117" s="38">
        <f>IF(109&lt;=KALKULATOR!$C$10,C117+F117,"")</f>
        <v/>
      </c>
    </row>
    <row r="118">
      <c r="B118" s="37">
        <f>IF(110&lt;=KALKULATOR!$C$10,110,"")</f>
        <v/>
      </c>
      <c r="C118" s="38">
        <f>IF(110&lt;=KALKULATOR!$C$10,G117,"")</f>
        <v/>
      </c>
      <c r="D118" s="38">
        <f>IF(110&lt;=KALKULATOR!$C$10,KALKULATOR!$C$21,"")</f>
        <v/>
      </c>
      <c r="E118" s="38">
        <f>IF(110&lt;=KALKULATOR!$C$10,-C118*KALKULATOR!$C$9,"")</f>
        <v/>
      </c>
      <c r="F118" s="38">
        <f>IF(110&lt;=KALKULATOR!$C$10,D118-E118,"")</f>
        <v/>
      </c>
      <c r="G118" s="38">
        <f>IF(110&lt;=KALKULATOR!$C$10,C118+F118,"")</f>
        <v/>
      </c>
    </row>
    <row r="119">
      <c r="B119" s="37">
        <f>IF(111&lt;=KALKULATOR!$C$10,111,"")</f>
        <v/>
      </c>
      <c r="C119" s="38">
        <f>IF(111&lt;=KALKULATOR!$C$10,G118,"")</f>
        <v/>
      </c>
      <c r="D119" s="38">
        <f>IF(111&lt;=KALKULATOR!$C$10,KALKULATOR!$C$21,"")</f>
        <v/>
      </c>
      <c r="E119" s="38">
        <f>IF(111&lt;=KALKULATOR!$C$10,-C119*KALKULATOR!$C$9,"")</f>
        <v/>
      </c>
      <c r="F119" s="38">
        <f>IF(111&lt;=KALKULATOR!$C$10,D119-E119,"")</f>
        <v/>
      </c>
      <c r="G119" s="38">
        <f>IF(111&lt;=KALKULATOR!$C$10,C119+F119,"")</f>
        <v/>
      </c>
    </row>
    <row r="120">
      <c r="B120" s="37">
        <f>IF(112&lt;=KALKULATOR!$C$10,112,"")</f>
        <v/>
      </c>
      <c r="C120" s="38">
        <f>IF(112&lt;=KALKULATOR!$C$10,G119,"")</f>
        <v/>
      </c>
      <c r="D120" s="38">
        <f>IF(112&lt;=KALKULATOR!$C$10,KALKULATOR!$C$21,"")</f>
        <v/>
      </c>
      <c r="E120" s="38">
        <f>IF(112&lt;=KALKULATOR!$C$10,-C120*KALKULATOR!$C$9,"")</f>
        <v/>
      </c>
      <c r="F120" s="38">
        <f>IF(112&lt;=KALKULATOR!$C$10,D120-E120,"")</f>
        <v/>
      </c>
      <c r="G120" s="38">
        <f>IF(112&lt;=KALKULATOR!$C$10,C120+F120,"")</f>
        <v/>
      </c>
    </row>
    <row r="121">
      <c r="B121" s="37">
        <f>IF(113&lt;=KALKULATOR!$C$10,113,"")</f>
        <v/>
      </c>
      <c r="C121" s="38">
        <f>IF(113&lt;=KALKULATOR!$C$10,G120,"")</f>
        <v/>
      </c>
      <c r="D121" s="38">
        <f>IF(113&lt;=KALKULATOR!$C$10,KALKULATOR!$C$21,"")</f>
        <v/>
      </c>
      <c r="E121" s="38">
        <f>IF(113&lt;=KALKULATOR!$C$10,-C121*KALKULATOR!$C$9,"")</f>
        <v/>
      </c>
      <c r="F121" s="38">
        <f>IF(113&lt;=KALKULATOR!$C$10,D121-E121,"")</f>
        <v/>
      </c>
      <c r="G121" s="38">
        <f>IF(113&lt;=KALKULATOR!$C$10,C121+F121,"")</f>
        <v/>
      </c>
    </row>
    <row r="122">
      <c r="B122" s="37">
        <f>IF(114&lt;=KALKULATOR!$C$10,114,"")</f>
        <v/>
      </c>
      <c r="C122" s="38">
        <f>IF(114&lt;=KALKULATOR!$C$10,G121,"")</f>
        <v/>
      </c>
      <c r="D122" s="38">
        <f>IF(114&lt;=KALKULATOR!$C$10,KALKULATOR!$C$21,"")</f>
        <v/>
      </c>
      <c r="E122" s="38">
        <f>IF(114&lt;=KALKULATOR!$C$10,-C122*KALKULATOR!$C$9,"")</f>
        <v/>
      </c>
      <c r="F122" s="38">
        <f>IF(114&lt;=KALKULATOR!$C$10,D122-E122,"")</f>
        <v/>
      </c>
      <c r="G122" s="38">
        <f>IF(114&lt;=KALKULATOR!$C$10,C122+F122,"")</f>
        <v/>
      </c>
    </row>
    <row r="123">
      <c r="B123" s="37">
        <f>IF(115&lt;=KALKULATOR!$C$10,115,"")</f>
        <v/>
      </c>
      <c r="C123" s="38">
        <f>IF(115&lt;=KALKULATOR!$C$10,G122,"")</f>
        <v/>
      </c>
      <c r="D123" s="38">
        <f>IF(115&lt;=KALKULATOR!$C$10,KALKULATOR!$C$21,"")</f>
        <v/>
      </c>
      <c r="E123" s="38">
        <f>IF(115&lt;=KALKULATOR!$C$10,-C123*KALKULATOR!$C$9,"")</f>
        <v/>
      </c>
      <c r="F123" s="38">
        <f>IF(115&lt;=KALKULATOR!$C$10,D123-E123,"")</f>
        <v/>
      </c>
      <c r="G123" s="38">
        <f>IF(115&lt;=KALKULATOR!$C$10,C123+F123,"")</f>
        <v/>
      </c>
    </row>
    <row r="124">
      <c r="B124" s="37">
        <f>IF(116&lt;=KALKULATOR!$C$10,116,"")</f>
        <v/>
      </c>
      <c r="C124" s="38">
        <f>IF(116&lt;=KALKULATOR!$C$10,G123,"")</f>
        <v/>
      </c>
      <c r="D124" s="38">
        <f>IF(116&lt;=KALKULATOR!$C$10,KALKULATOR!$C$21,"")</f>
        <v/>
      </c>
      <c r="E124" s="38">
        <f>IF(116&lt;=KALKULATOR!$C$10,-C124*KALKULATOR!$C$9,"")</f>
        <v/>
      </c>
      <c r="F124" s="38">
        <f>IF(116&lt;=KALKULATOR!$C$10,D124-E124,"")</f>
        <v/>
      </c>
      <c r="G124" s="38">
        <f>IF(116&lt;=KALKULATOR!$C$10,C124+F124,"")</f>
        <v/>
      </c>
    </row>
    <row r="125">
      <c r="B125" s="37">
        <f>IF(117&lt;=KALKULATOR!$C$10,117,"")</f>
        <v/>
      </c>
      <c r="C125" s="38">
        <f>IF(117&lt;=KALKULATOR!$C$10,G124,"")</f>
        <v/>
      </c>
      <c r="D125" s="38">
        <f>IF(117&lt;=KALKULATOR!$C$10,KALKULATOR!$C$21,"")</f>
        <v/>
      </c>
      <c r="E125" s="38">
        <f>IF(117&lt;=KALKULATOR!$C$10,-C125*KALKULATOR!$C$9,"")</f>
        <v/>
      </c>
      <c r="F125" s="38">
        <f>IF(117&lt;=KALKULATOR!$C$10,D125-E125,"")</f>
        <v/>
      </c>
      <c r="G125" s="38">
        <f>IF(117&lt;=KALKULATOR!$C$10,C125+F125,"")</f>
        <v/>
      </c>
    </row>
    <row r="126">
      <c r="B126" s="37">
        <f>IF(118&lt;=KALKULATOR!$C$10,118,"")</f>
        <v/>
      </c>
      <c r="C126" s="38">
        <f>IF(118&lt;=KALKULATOR!$C$10,G125,"")</f>
        <v/>
      </c>
      <c r="D126" s="38">
        <f>IF(118&lt;=KALKULATOR!$C$10,KALKULATOR!$C$21,"")</f>
        <v/>
      </c>
      <c r="E126" s="38">
        <f>IF(118&lt;=KALKULATOR!$C$10,-C126*KALKULATOR!$C$9,"")</f>
        <v/>
      </c>
      <c r="F126" s="38">
        <f>IF(118&lt;=KALKULATOR!$C$10,D126-E126,"")</f>
        <v/>
      </c>
      <c r="G126" s="38">
        <f>IF(118&lt;=KALKULATOR!$C$10,C126+F126,"")</f>
        <v/>
      </c>
    </row>
    <row r="127">
      <c r="B127" s="37">
        <f>IF(119&lt;=KALKULATOR!$C$10,119,"")</f>
        <v/>
      </c>
      <c r="C127" s="38">
        <f>IF(119&lt;=KALKULATOR!$C$10,G126,"")</f>
        <v/>
      </c>
      <c r="D127" s="38">
        <f>IF(119&lt;=KALKULATOR!$C$10,KALKULATOR!$C$21,"")</f>
        <v/>
      </c>
      <c r="E127" s="38">
        <f>IF(119&lt;=KALKULATOR!$C$10,-C127*KALKULATOR!$C$9,"")</f>
        <v/>
      </c>
      <c r="F127" s="38">
        <f>IF(119&lt;=KALKULATOR!$C$10,D127-E127,"")</f>
        <v/>
      </c>
      <c r="G127" s="38">
        <f>IF(119&lt;=KALKULATOR!$C$10,C127+F127,"")</f>
        <v/>
      </c>
    </row>
    <row r="128">
      <c r="B128" s="37">
        <f>IF(120&lt;=KALKULATOR!$C$10,120,"")</f>
        <v/>
      </c>
      <c r="C128" s="38">
        <f>IF(120&lt;=KALKULATOR!$C$10,G127,"")</f>
        <v/>
      </c>
      <c r="D128" s="38">
        <f>IF(120&lt;=KALKULATOR!$C$10,KALKULATOR!$C$21,"")</f>
        <v/>
      </c>
      <c r="E128" s="38">
        <f>IF(120&lt;=KALKULATOR!$C$10,-C128*KALKULATOR!$C$9,"")</f>
        <v/>
      </c>
      <c r="F128" s="38">
        <f>IF(120&lt;=KALKULATOR!$C$10,D128-E128,"")</f>
        <v/>
      </c>
      <c r="G128" s="38">
        <f>IF(120&lt;=KALKULATOR!$C$10,C128+F128,"")</f>
        <v/>
      </c>
    </row>
    <row r="129">
      <c r="B129" s="37">
        <f>IF(121&lt;=KALKULATOR!$C$10,121,"")</f>
        <v/>
      </c>
      <c r="C129" s="38">
        <f>IF(121&lt;=KALKULATOR!$C$10,G128,"")</f>
        <v/>
      </c>
      <c r="D129" s="38">
        <f>IF(121&lt;=KALKULATOR!$C$10,KALKULATOR!$C$21,"")</f>
        <v/>
      </c>
      <c r="E129" s="38">
        <f>IF(121&lt;=KALKULATOR!$C$10,-C129*KALKULATOR!$C$9,"")</f>
        <v/>
      </c>
      <c r="F129" s="38">
        <f>IF(121&lt;=KALKULATOR!$C$10,D129-E129,"")</f>
        <v/>
      </c>
      <c r="G129" s="38">
        <f>IF(121&lt;=KALKULATOR!$C$10,C129+F129,"")</f>
        <v/>
      </c>
    </row>
    <row r="130">
      <c r="B130" s="37">
        <f>IF(122&lt;=KALKULATOR!$C$10,122,"")</f>
        <v/>
      </c>
      <c r="C130" s="38">
        <f>IF(122&lt;=KALKULATOR!$C$10,G129,"")</f>
        <v/>
      </c>
      <c r="D130" s="38">
        <f>IF(122&lt;=KALKULATOR!$C$10,KALKULATOR!$C$21,"")</f>
        <v/>
      </c>
      <c r="E130" s="38">
        <f>IF(122&lt;=KALKULATOR!$C$10,-C130*KALKULATOR!$C$9,"")</f>
        <v/>
      </c>
      <c r="F130" s="38">
        <f>IF(122&lt;=KALKULATOR!$C$10,D130-E130,"")</f>
        <v/>
      </c>
      <c r="G130" s="38">
        <f>IF(122&lt;=KALKULATOR!$C$10,C130+F130,"")</f>
        <v/>
      </c>
    </row>
    <row r="131">
      <c r="B131" s="37">
        <f>IF(123&lt;=KALKULATOR!$C$10,123,"")</f>
        <v/>
      </c>
      <c r="C131" s="38">
        <f>IF(123&lt;=KALKULATOR!$C$10,G130,"")</f>
        <v/>
      </c>
      <c r="D131" s="38">
        <f>IF(123&lt;=KALKULATOR!$C$10,KALKULATOR!$C$21,"")</f>
        <v/>
      </c>
      <c r="E131" s="38">
        <f>IF(123&lt;=KALKULATOR!$C$10,-C131*KALKULATOR!$C$9,"")</f>
        <v/>
      </c>
      <c r="F131" s="38">
        <f>IF(123&lt;=KALKULATOR!$C$10,D131-E131,"")</f>
        <v/>
      </c>
      <c r="G131" s="38">
        <f>IF(123&lt;=KALKULATOR!$C$10,C131+F131,"")</f>
        <v/>
      </c>
    </row>
    <row r="132">
      <c r="B132" s="37">
        <f>IF(124&lt;=KALKULATOR!$C$10,124,"")</f>
        <v/>
      </c>
      <c r="C132" s="38">
        <f>IF(124&lt;=KALKULATOR!$C$10,G131,"")</f>
        <v/>
      </c>
      <c r="D132" s="38">
        <f>IF(124&lt;=KALKULATOR!$C$10,KALKULATOR!$C$21,"")</f>
        <v/>
      </c>
      <c r="E132" s="38">
        <f>IF(124&lt;=KALKULATOR!$C$10,-C132*KALKULATOR!$C$9,"")</f>
        <v/>
      </c>
      <c r="F132" s="38">
        <f>IF(124&lt;=KALKULATOR!$C$10,D132-E132,"")</f>
        <v/>
      </c>
      <c r="G132" s="38">
        <f>IF(124&lt;=KALKULATOR!$C$10,C132+F132,"")</f>
        <v/>
      </c>
    </row>
    <row r="133">
      <c r="B133" s="37">
        <f>IF(125&lt;=KALKULATOR!$C$10,125,"")</f>
        <v/>
      </c>
      <c r="C133" s="38">
        <f>IF(125&lt;=KALKULATOR!$C$10,G132,"")</f>
        <v/>
      </c>
      <c r="D133" s="38">
        <f>IF(125&lt;=KALKULATOR!$C$10,KALKULATOR!$C$21,"")</f>
        <v/>
      </c>
      <c r="E133" s="38">
        <f>IF(125&lt;=KALKULATOR!$C$10,-C133*KALKULATOR!$C$9,"")</f>
        <v/>
      </c>
      <c r="F133" s="38">
        <f>IF(125&lt;=KALKULATOR!$C$10,D133-E133,"")</f>
        <v/>
      </c>
      <c r="G133" s="38">
        <f>IF(125&lt;=KALKULATOR!$C$10,C133+F133,"")</f>
        <v/>
      </c>
    </row>
    <row r="134">
      <c r="B134" s="37">
        <f>IF(126&lt;=KALKULATOR!$C$10,126,"")</f>
        <v/>
      </c>
      <c r="C134" s="38">
        <f>IF(126&lt;=KALKULATOR!$C$10,G133,"")</f>
        <v/>
      </c>
      <c r="D134" s="38">
        <f>IF(126&lt;=KALKULATOR!$C$10,KALKULATOR!$C$21,"")</f>
        <v/>
      </c>
      <c r="E134" s="38">
        <f>IF(126&lt;=KALKULATOR!$C$10,-C134*KALKULATOR!$C$9,"")</f>
        <v/>
      </c>
      <c r="F134" s="38">
        <f>IF(126&lt;=KALKULATOR!$C$10,D134-E134,"")</f>
        <v/>
      </c>
      <c r="G134" s="38">
        <f>IF(126&lt;=KALKULATOR!$C$10,C134+F134,"")</f>
        <v/>
      </c>
    </row>
    <row r="135">
      <c r="B135" s="37">
        <f>IF(127&lt;=KALKULATOR!$C$10,127,"")</f>
        <v/>
      </c>
      <c r="C135" s="38">
        <f>IF(127&lt;=KALKULATOR!$C$10,G134,"")</f>
        <v/>
      </c>
      <c r="D135" s="38">
        <f>IF(127&lt;=KALKULATOR!$C$10,KALKULATOR!$C$21,"")</f>
        <v/>
      </c>
      <c r="E135" s="38">
        <f>IF(127&lt;=KALKULATOR!$C$10,-C135*KALKULATOR!$C$9,"")</f>
        <v/>
      </c>
      <c r="F135" s="38">
        <f>IF(127&lt;=KALKULATOR!$C$10,D135-E135,"")</f>
        <v/>
      </c>
      <c r="G135" s="38">
        <f>IF(127&lt;=KALKULATOR!$C$10,C135+F135,"")</f>
        <v/>
      </c>
    </row>
    <row r="136">
      <c r="B136" s="37">
        <f>IF(128&lt;=KALKULATOR!$C$10,128,"")</f>
        <v/>
      </c>
      <c r="C136" s="38">
        <f>IF(128&lt;=KALKULATOR!$C$10,G135,"")</f>
        <v/>
      </c>
      <c r="D136" s="38">
        <f>IF(128&lt;=KALKULATOR!$C$10,KALKULATOR!$C$21,"")</f>
        <v/>
      </c>
      <c r="E136" s="38">
        <f>IF(128&lt;=KALKULATOR!$C$10,-C136*KALKULATOR!$C$9,"")</f>
        <v/>
      </c>
      <c r="F136" s="38">
        <f>IF(128&lt;=KALKULATOR!$C$10,D136-E136,"")</f>
        <v/>
      </c>
      <c r="G136" s="38">
        <f>IF(128&lt;=KALKULATOR!$C$10,C136+F136,"")</f>
        <v/>
      </c>
    </row>
    <row r="137">
      <c r="B137" s="37">
        <f>IF(129&lt;=KALKULATOR!$C$10,129,"")</f>
        <v/>
      </c>
      <c r="C137" s="38">
        <f>IF(129&lt;=KALKULATOR!$C$10,G136,"")</f>
        <v/>
      </c>
      <c r="D137" s="38">
        <f>IF(129&lt;=KALKULATOR!$C$10,KALKULATOR!$C$21,"")</f>
        <v/>
      </c>
      <c r="E137" s="38">
        <f>IF(129&lt;=KALKULATOR!$C$10,-C137*KALKULATOR!$C$9,"")</f>
        <v/>
      </c>
      <c r="F137" s="38">
        <f>IF(129&lt;=KALKULATOR!$C$10,D137-E137,"")</f>
        <v/>
      </c>
      <c r="G137" s="38">
        <f>IF(129&lt;=KALKULATOR!$C$10,C137+F137,"")</f>
        <v/>
      </c>
    </row>
    <row r="138">
      <c r="B138" s="37">
        <f>IF(130&lt;=KALKULATOR!$C$10,130,"")</f>
        <v/>
      </c>
      <c r="C138" s="38">
        <f>IF(130&lt;=KALKULATOR!$C$10,G137,"")</f>
        <v/>
      </c>
      <c r="D138" s="38">
        <f>IF(130&lt;=KALKULATOR!$C$10,KALKULATOR!$C$21,"")</f>
        <v/>
      </c>
      <c r="E138" s="38">
        <f>IF(130&lt;=KALKULATOR!$C$10,-C138*KALKULATOR!$C$9,"")</f>
        <v/>
      </c>
      <c r="F138" s="38">
        <f>IF(130&lt;=KALKULATOR!$C$10,D138-E138,"")</f>
        <v/>
      </c>
      <c r="G138" s="38">
        <f>IF(130&lt;=KALKULATOR!$C$10,C138+F138,"")</f>
        <v/>
      </c>
    </row>
    <row r="139">
      <c r="B139" s="37">
        <f>IF(131&lt;=KALKULATOR!$C$10,131,"")</f>
        <v/>
      </c>
      <c r="C139" s="38">
        <f>IF(131&lt;=KALKULATOR!$C$10,G138,"")</f>
        <v/>
      </c>
      <c r="D139" s="38">
        <f>IF(131&lt;=KALKULATOR!$C$10,KALKULATOR!$C$21,"")</f>
        <v/>
      </c>
      <c r="E139" s="38">
        <f>IF(131&lt;=KALKULATOR!$C$10,-C139*KALKULATOR!$C$9,"")</f>
        <v/>
      </c>
      <c r="F139" s="38">
        <f>IF(131&lt;=KALKULATOR!$C$10,D139-E139,"")</f>
        <v/>
      </c>
      <c r="G139" s="38">
        <f>IF(131&lt;=KALKULATOR!$C$10,C139+F139,"")</f>
        <v/>
      </c>
    </row>
    <row r="140">
      <c r="B140" s="37">
        <f>IF(132&lt;=KALKULATOR!$C$10,132,"")</f>
        <v/>
      </c>
      <c r="C140" s="38">
        <f>IF(132&lt;=KALKULATOR!$C$10,G139,"")</f>
        <v/>
      </c>
      <c r="D140" s="38">
        <f>IF(132&lt;=KALKULATOR!$C$10,KALKULATOR!$C$21,"")</f>
        <v/>
      </c>
      <c r="E140" s="38">
        <f>IF(132&lt;=KALKULATOR!$C$10,-C140*KALKULATOR!$C$9,"")</f>
        <v/>
      </c>
      <c r="F140" s="38">
        <f>IF(132&lt;=KALKULATOR!$C$10,D140-E140,"")</f>
        <v/>
      </c>
      <c r="G140" s="38">
        <f>IF(132&lt;=KALKULATOR!$C$10,C140+F140,"")</f>
        <v/>
      </c>
    </row>
    <row r="141">
      <c r="B141" s="37">
        <f>IF(133&lt;=KALKULATOR!$C$10,133,"")</f>
        <v/>
      </c>
      <c r="C141" s="38">
        <f>IF(133&lt;=KALKULATOR!$C$10,G140,"")</f>
        <v/>
      </c>
      <c r="D141" s="38">
        <f>IF(133&lt;=KALKULATOR!$C$10,KALKULATOR!$C$21,"")</f>
        <v/>
      </c>
      <c r="E141" s="38">
        <f>IF(133&lt;=KALKULATOR!$C$10,-C141*KALKULATOR!$C$9,"")</f>
        <v/>
      </c>
      <c r="F141" s="38">
        <f>IF(133&lt;=KALKULATOR!$C$10,D141-E141,"")</f>
        <v/>
      </c>
      <c r="G141" s="38">
        <f>IF(133&lt;=KALKULATOR!$C$10,C141+F141,"")</f>
        <v/>
      </c>
    </row>
    <row r="142">
      <c r="B142" s="37">
        <f>IF(134&lt;=KALKULATOR!$C$10,134,"")</f>
        <v/>
      </c>
      <c r="C142" s="38">
        <f>IF(134&lt;=KALKULATOR!$C$10,G141,"")</f>
        <v/>
      </c>
      <c r="D142" s="38">
        <f>IF(134&lt;=KALKULATOR!$C$10,KALKULATOR!$C$21,"")</f>
        <v/>
      </c>
      <c r="E142" s="38">
        <f>IF(134&lt;=KALKULATOR!$C$10,-C142*KALKULATOR!$C$9,"")</f>
        <v/>
      </c>
      <c r="F142" s="38">
        <f>IF(134&lt;=KALKULATOR!$C$10,D142-E142,"")</f>
        <v/>
      </c>
      <c r="G142" s="38">
        <f>IF(134&lt;=KALKULATOR!$C$10,C142+F142,"")</f>
        <v/>
      </c>
    </row>
    <row r="143">
      <c r="B143" s="37">
        <f>IF(135&lt;=KALKULATOR!$C$10,135,"")</f>
        <v/>
      </c>
      <c r="C143" s="38">
        <f>IF(135&lt;=KALKULATOR!$C$10,G142,"")</f>
        <v/>
      </c>
      <c r="D143" s="38">
        <f>IF(135&lt;=KALKULATOR!$C$10,KALKULATOR!$C$21,"")</f>
        <v/>
      </c>
      <c r="E143" s="38">
        <f>IF(135&lt;=KALKULATOR!$C$10,-C143*KALKULATOR!$C$9,"")</f>
        <v/>
      </c>
      <c r="F143" s="38">
        <f>IF(135&lt;=KALKULATOR!$C$10,D143-E143,"")</f>
        <v/>
      </c>
      <c r="G143" s="38">
        <f>IF(135&lt;=KALKULATOR!$C$10,C143+F143,"")</f>
        <v/>
      </c>
    </row>
    <row r="144">
      <c r="B144" s="37">
        <f>IF(136&lt;=KALKULATOR!$C$10,136,"")</f>
        <v/>
      </c>
      <c r="C144" s="38">
        <f>IF(136&lt;=KALKULATOR!$C$10,G143,"")</f>
        <v/>
      </c>
      <c r="D144" s="38">
        <f>IF(136&lt;=KALKULATOR!$C$10,KALKULATOR!$C$21,"")</f>
        <v/>
      </c>
      <c r="E144" s="38">
        <f>IF(136&lt;=KALKULATOR!$C$10,-C144*KALKULATOR!$C$9,"")</f>
        <v/>
      </c>
      <c r="F144" s="38">
        <f>IF(136&lt;=KALKULATOR!$C$10,D144-E144,"")</f>
        <v/>
      </c>
      <c r="G144" s="38">
        <f>IF(136&lt;=KALKULATOR!$C$10,C144+F144,"")</f>
        <v/>
      </c>
    </row>
    <row r="145">
      <c r="B145" s="37">
        <f>IF(137&lt;=KALKULATOR!$C$10,137,"")</f>
        <v/>
      </c>
      <c r="C145" s="38">
        <f>IF(137&lt;=KALKULATOR!$C$10,G144,"")</f>
        <v/>
      </c>
      <c r="D145" s="38">
        <f>IF(137&lt;=KALKULATOR!$C$10,KALKULATOR!$C$21,"")</f>
        <v/>
      </c>
      <c r="E145" s="38">
        <f>IF(137&lt;=KALKULATOR!$C$10,-C145*KALKULATOR!$C$9,"")</f>
        <v/>
      </c>
      <c r="F145" s="38">
        <f>IF(137&lt;=KALKULATOR!$C$10,D145-E145,"")</f>
        <v/>
      </c>
      <c r="G145" s="38">
        <f>IF(137&lt;=KALKULATOR!$C$10,C145+F145,"")</f>
        <v/>
      </c>
    </row>
    <row r="146">
      <c r="B146" s="37">
        <f>IF(138&lt;=KALKULATOR!$C$10,138,"")</f>
        <v/>
      </c>
      <c r="C146" s="38">
        <f>IF(138&lt;=KALKULATOR!$C$10,G145,"")</f>
        <v/>
      </c>
      <c r="D146" s="38">
        <f>IF(138&lt;=KALKULATOR!$C$10,KALKULATOR!$C$21,"")</f>
        <v/>
      </c>
      <c r="E146" s="38">
        <f>IF(138&lt;=KALKULATOR!$C$10,-C146*KALKULATOR!$C$9,"")</f>
        <v/>
      </c>
      <c r="F146" s="38">
        <f>IF(138&lt;=KALKULATOR!$C$10,D146-E146,"")</f>
        <v/>
      </c>
      <c r="G146" s="38">
        <f>IF(138&lt;=KALKULATOR!$C$10,C146+F146,"")</f>
        <v/>
      </c>
    </row>
    <row r="147">
      <c r="B147" s="37">
        <f>IF(139&lt;=KALKULATOR!$C$10,139,"")</f>
        <v/>
      </c>
      <c r="C147" s="38">
        <f>IF(139&lt;=KALKULATOR!$C$10,G146,"")</f>
        <v/>
      </c>
      <c r="D147" s="38">
        <f>IF(139&lt;=KALKULATOR!$C$10,KALKULATOR!$C$21,"")</f>
        <v/>
      </c>
      <c r="E147" s="38">
        <f>IF(139&lt;=KALKULATOR!$C$10,-C147*KALKULATOR!$C$9,"")</f>
        <v/>
      </c>
      <c r="F147" s="38">
        <f>IF(139&lt;=KALKULATOR!$C$10,D147-E147,"")</f>
        <v/>
      </c>
      <c r="G147" s="38">
        <f>IF(139&lt;=KALKULATOR!$C$10,C147+F147,"")</f>
        <v/>
      </c>
    </row>
    <row r="148">
      <c r="B148" s="37">
        <f>IF(140&lt;=KALKULATOR!$C$10,140,"")</f>
        <v/>
      </c>
      <c r="C148" s="38">
        <f>IF(140&lt;=KALKULATOR!$C$10,G147,"")</f>
        <v/>
      </c>
      <c r="D148" s="38">
        <f>IF(140&lt;=KALKULATOR!$C$10,KALKULATOR!$C$21,"")</f>
        <v/>
      </c>
      <c r="E148" s="38">
        <f>IF(140&lt;=KALKULATOR!$C$10,-C148*KALKULATOR!$C$9,"")</f>
        <v/>
      </c>
      <c r="F148" s="38">
        <f>IF(140&lt;=KALKULATOR!$C$10,D148-E148,"")</f>
        <v/>
      </c>
      <c r="G148" s="38">
        <f>IF(140&lt;=KALKULATOR!$C$10,C148+F148,"")</f>
        <v/>
      </c>
    </row>
    <row r="149">
      <c r="B149" s="37">
        <f>IF(141&lt;=KALKULATOR!$C$10,141,"")</f>
        <v/>
      </c>
      <c r="C149" s="38">
        <f>IF(141&lt;=KALKULATOR!$C$10,G148,"")</f>
        <v/>
      </c>
      <c r="D149" s="38">
        <f>IF(141&lt;=KALKULATOR!$C$10,KALKULATOR!$C$21,"")</f>
        <v/>
      </c>
      <c r="E149" s="38">
        <f>IF(141&lt;=KALKULATOR!$C$10,-C149*KALKULATOR!$C$9,"")</f>
        <v/>
      </c>
      <c r="F149" s="38">
        <f>IF(141&lt;=KALKULATOR!$C$10,D149-E149,"")</f>
        <v/>
      </c>
      <c r="G149" s="38">
        <f>IF(141&lt;=KALKULATOR!$C$10,C149+F149,"")</f>
        <v/>
      </c>
    </row>
    <row r="150">
      <c r="B150" s="37">
        <f>IF(142&lt;=KALKULATOR!$C$10,142,"")</f>
        <v/>
      </c>
      <c r="C150" s="38">
        <f>IF(142&lt;=KALKULATOR!$C$10,G149,"")</f>
        <v/>
      </c>
      <c r="D150" s="38">
        <f>IF(142&lt;=KALKULATOR!$C$10,KALKULATOR!$C$21,"")</f>
        <v/>
      </c>
      <c r="E150" s="38">
        <f>IF(142&lt;=KALKULATOR!$C$10,-C150*KALKULATOR!$C$9,"")</f>
        <v/>
      </c>
      <c r="F150" s="38">
        <f>IF(142&lt;=KALKULATOR!$C$10,D150-E150,"")</f>
        <v/>
      </c>
      <c r="G150" s="38">
        <f>IF(142&lt;=KALKULATOR!$C$10,C150+F150,"")</f>
        <v/>
      </c>
    </row>
    <row r="151">
      <c r="B151" s="37">
        <f>IF(143&lt;=KALKULATOR!$C$10,143,"")</f>
        <v/>
      </c>
      <c r="C151" s="38">
        <f>IF(143&lt;=KALKULATOR!$C$10,G150,"")</f>
        <v/>
      </c>
      <c r="D151" s="38">
        <f>IF(143&lt;=KALKULATOR!$C$10,KALKULATOR!$C$21,"")</f>
        <v/>
      </c>
      <c r="E151" s="38">
        <f>IF(143&lt;=KALKULATOR!$C$10,-C151*KALKULATOR!$C$9,"")</f>
        <v/>
      </c>
      <c r="F151" s="38">
        <f>IF(143&lt;=KALKULATOR!$C$10,D151-E151,"")</f>
        <v/>
      </c>
      <c r="G151" s="38">
        <f>IF(143&lt;=KALKULATOR!$C$10,C151+F151,"")</f>
        <v/>
      </c>
    </row>
    <row r="152">
      <c r="B152" s="37">
        <f>IF(144&lt;=KALKULATOR!$C$10,144,"")</f>
        <v/>
      </c>
      <c r="C152" s="38">
        <f>IF(144&lt;=KALKULATOR!$C$10,G151,"")</f>
        <v/>
      </c>
      <c r="D152" s="38">
        <f>IF(144&lt;=KALKULATOR!$C$10,KALKULATOR!$C$21,"")</f>
        <v/>
      </c>
      <c r="E152" s="38">
        <f>IF(144&lt;=KALKULATOR!$C$10,-C152*KALKULATOR!$C$9,"")</f>
        <v/>
      </c>
      <c r="F152" s="38">
        <f>IF(144&lt;=KALKULATOR!$C$10,D152-E152,"")</f>
        <v/>
      </c>
      <c r="G152" s="38">
        <f>IF(144&lt;=KALKULATOR!$C$10,C152+F152,"")</f>
        <v/>
      </c>
    </row>
    <row r="153">
      <c r="B153" s="37">
        <f>IF(145&lt;=KALKULATOR!$C$10,145,"")</f>
        <v/>
      </c>
      <c r="C153" s="38">
        <f>IF(145&lt;=KALKULATOR!$C$10,G152,"")</f>
        <v/>
      </c>
      <c r="D153" s="38">
        <f>IF(145&lt;=KALKULATOR!$C$10,KALKULATOR!$C$21,"")</f>
        <v/>
      </c>
      <c r="E153" s="38">
        <f>IF(145&lt;=KALKULATOR!$C$10,-C153*KALKULATOR!$C$9,"")</f>
        <v/>
      </c>
      <c r="F153" s="38">
        <f>IF(145&lt;=KALKULATOR!$C$10,D153-E153,"")</f>
        <v/>
      </c>
      <c r="G153" s="38">
        <f>IF(145&lt;=KALKULATOR!$C$10,C153+F153,"")</f>
        <v/>
      </c>
    </row>
    <row r="154">
      <c r="B154" s="37">
        <f>IF(146&lt;=KALKULATOR!$C$10,146,"")</f>
        <v/>
      </c>
      <c r="C154" s="38">
        <f>IF(146&lt;=KALKULATOR!$C$10,G153,"")</f>
        <v/>
      </c>
      <c r="D154" s="38">
        <f>IF(146&lt;=KALKULATOR!$C$10,KALKULATOR!$C$21,"")</f>
        <v/>
      </c>
      <c r="E154" s="38">
        <f>IF(146&lt;=KALKULATOR!$C$10,-C154*KALKULATOR!$C$9,"")</f>
        <v/>
      </c>
      <c r="F154" s="38">
        <f>IF(146&lt;=KALKULATOR!$C$10,D154-E154,"")</f>
        <v/>
      </c>
      <c r="G154" s="38">
        <f>IF(146&lt;=KALKULATOR!$C$10,C154+F154,"")</f>
        <v/>
      </c>
    </row>
    <row r="155">
      <c r="B155" s="37">
        <f>IF(147&lt;=KALKULATOR!$C$10,147,"")</f>
        <v/>
      </c>
      <c r="C155" s="38">
        <f>IF(147&lt;=KALKULATOR!$C$10,G154,"")</f>
        <v/>
      </c>
      <c r="D155" s="38">
        <f>IF(147&lt;=KALKULATOR!$C$10,KALKULATOR!$C$21,"")</f>
        <v/>
      </c>
      <c r="E155" s="38">
        <f>IF(147&lt;=KALKULATOR!$C$10,-C155*KALKULATOR!$C$9,"")</f>
        <v/>
      </c>
      <c r="F155" s="38">
        <f>IF(147&lt;=KALKULATOR!$C$10,D155-E155,"")</f>
        <v/>
      </c>
      <c r="G155" s="38">
        <f>IF(147&lt;=KALKULATOR!$C$10,C155+F155,"")</f>
        <v/>
      </c>
    </row>
    <row r="156">
      <c r="B156" s="37">
        <f>IF(148&lt;=KALKULATOR!$C$10,148,"")</f>
        <v/>
      </c>
      <c r="C156" s="38">
        <f>IF(148&lt;=KALKULATOR!$C$10,G155,"")</f>
        <v/>
      </c>
      <c r="D156" s="38">
        <f>IF(148&lt;=KALKULATOR!$C$10,KALKULATOR!$C$21,"")</f>
        <v/>
      </c>
      <c r="E156" s="38">
        <f>IF(148&lt;=KALKULATOR!$C$10,-C156*KALKULATOR!$C$9,"")</f>
        <v/>
      </c>
      <c r="F156" s="38">
        <f>IF(148&lt;=KALKULATOR!$C$10,D156-E156,"")</f>
        <v/>
      </c>
      <c r="G156" s="38">
        <f>IF(148&lt;=KALKULATOR!$C$10,C156+F156,"")</f>
        <v/>
      </c>
    </row>
    <row r="157">
      <c r="B157" s="37">
        <f>IF(149&lt;=KALKULATOR!$C$10,149,"")</f>
        <v/>
      </c>
      <c r="C157" s="38">
        <f>IF(149&lt;=KALKULATOR!$C$10,G156,"")</f>
        <v/>
      </c>
      <c r="D157" s="38">
        <f>IF(149&lt;=KALKULATOR!$C$10,KALKULATOR!$C$21,"")</f>
        <v/>
      </c>
      <c r="E157" s="38">
        <f>IF(149&lt;=KALKULATOR!$C$10,-C157*KALKULATOR!$C$9,"")</f>
        <v/>
      </c>
      <c r="F157" s="38">
        <f>IF(149&lt;=KALKULATOR!$C$10,D157-E157,"")</f>
        <v/>
      </c>
      <c r="G157" s="38">
        <f>IF(149&lt;=KALKULATOR!$C$10,C157+F157,"")</f>
        <v/>
      </c>
    </row>
    <row r="158">
      <c r="B158" s="37">
        <f>IF(150&lt;=KALKULATOR!$C$10,150,"")</f>
        <v/>
      </c>
      <c r="C158" s="38">
        <f>IF(150&lt;=KALKULATOR!$C$10,G157,"")</f>
        <v/>
      </c>
      <c r="D158" s="38">
        <f>IF(150&lt;=KALKULATOR!$C$10,KALKULATOR!$C$21,"")</f>
        <v/>
      </c>
      <c r="E158" s="38">
        <f>IF(150&lt;=KALKULATOR!$C$10,-C158*KALKULATOR!$C$9,"")</f>
        <v/>
      </c>
      <c r="F158" s="38">
        <f>IF(150&lt;=KALKULATOR!$C$10,D158-E158,"")</f>
        <v/>
      </c>
      <c r="G158" s="38">
        <f>IF(150&lt;=KALKULATOR!$C$10,C158+F158,"")</f>
        <v/>
      </c>
    </row>
    <row r="159">
      <c r="B159" s="37">
        <f>IF(151&lt;=KALKULATOR!$C$10,151,"")</f>
        <v/>
      </c>
      <c r="C159" s="38">
        <f>IF(151&lt;=KALKULATOR!$C$10,G158,"")</f>
        <v/>
      </c>
      <c r="D159" s="38">
        <f>IF(151&lt;=KALKULATOR!$C$10,KALKULATOR!$C$21,"")</f>
        <v/>
      </c>
      <c r="E159" s="38">
        <f>IF(151&lt;=KALKULATOR!$C$10,-C159*KALKULATOR!$C$9,"")</f>
        <v/>
      </c>
      <c r="F159" s="38">
        <f>IF(151&lt;=KALKULATOR!$C$10,D159-E159,"")</f>
        <v/>
      </c>
      <c r="G159" s="38">
        <f>IF(151&lt;=KALKULATOR!$C$10,C159+F159,"")</f>
        <v/>
      </c>
    </row>
    <row r="160">
      <c r="B160" s="37">
        <f>IF(152&lt;=KALKULATOR!$C$10,152,"")</f>
        <v/>
      </c>
      <c r="C160" s="38">
        <f>IF(152&lt;=KALKULATOR!$C$10,G159,"")</f>
        <v/>
      </c>
      <c r="D160" s="38">
        <f>IF(152&lt;=KALKULATOR!$C$10,KALKULATOR!$C$21,"")</f>
        <v/>
      </c>
      <c r="E160" s="38">
        <f>IF(152&lt;=KALKULATOR!$C$10,-C160*KALKULATOR!$C$9,"")</f>
        <v/>
      </c>
      <c r="F160" s="38">
        <f>IF(152&lt;=KALKULATOR!$C$10,D160-E160,"")</f>
        <v/>
      </c>
      <c r="G160" s="38">
        <f>IF(152&lt;=KALKULATOR!$C$10,C160+F160,"")</f>
        <v/>
      </c>
    </row>
    <row r="161">
      <c r="B161" s="37">
        <f>IF(153&lt;=KALKULATOR!$C$10,153,"")</f>
        <v/>
      </c>
      <c r="C161" s="38">
        <f>IF(153&lt;=KALKULATOR!$C$10,G160,"")</f>
        <v/>
      </c>
      <c r="D161" s="38">
        <f>IF(153&lt;=KALKULATOR!$C$10,KALKULATOR!$C$21,"")</f>
        <v/>
      </c>
      <c r="E161" s="38">
        <f>IF(153&lt;=KALKULATOR!$C$10,-C161*KALKULATOR!$C$9,"")</f>
        <v/>
      </c>
      <c r="F161" s="38">
        <f>IF(153&lt;=KALKULATOR!$C$10,D161-E161,"")</f>
        <v/>
      </c>
      <c r="G161" s="38">
        <f>IF(153&lt;=KALKULATOR!$C$10,C161+F161,"")</f>
        <v/>
      </c>
    </row>
    <row r="162">
      <c r="B162" s="37">
        <f>IF(154&lt;=KALKULATOR!$C$10,154,"")</f>
        <v/>
      </c>
      <c r="C162" s="38">
        <f>IF(154&lt;=KALKULATOR!$C$10,G161,"")</f>
        <v/>
      </c>
      <c r="D162" s="38">
        <f>IF(154&lt;=KALKULATOR!$C$10,KALKULATOR!$C$21,"")</f>
        <v/>
      </c>
      <c r="E162" s="38">
        <f>IF(154&lt;=KALKULATOR!$C$10,-C162*KALKULATOR!$C$9,"")</f>
        <v/>
      </c>
      <c r="F162" s="38">
        <f>IF(154&lt;=KALKULATOR!$C$10,D162-E162,"")</f>
        <v/>
      </c>
      <c r="G162" s="38">
        <f>IF(154&lt;=KALKULATOR!$C$10,C162+F162,"")</f>
        <v/>
      </c>
    </row>
    <row r="163">
      <c r="B163" s="37">
        <f>IF(155&lt;=KALKULATOR!$C$10,155,"")</f>
        <v/>
      </c>
      <c r="C163" s="38">
        <f>IF(155&lt;=KALKULATOR!$C$10,G162,"")</f>
        <v/>
      </c>
      <c r="D163" s="38">
        <f>IF(155&lt;=KALKULATOR!$C$10,KALKULATOR!$C$21,"")</f>
        <v/>
      </c>
      <c r="E163" s="38">
        <f>IF(155&lt;=KALKULATOR!$C$10,-C163*KALKULATOR!$C$9,"")</f>
        <v/>
      </c>
      <c r="F163" s="38">
        <f>IF(155&lt;=KALKULATOR!$C$10,D163-E163,"")</f>
        <v/>
      </c>
      <c r="G163" s="38">
        <f>IF(155&lt;=KALKULATOR!$C$10,C163+F163,"")</f>
        <v/>
      </c>
    </row>
    <row r="164">
      <c r="B164" s="37">
        <f>IF(156&lt;=KALKULATOR!$C$10,156,"")</f>
        <v/>
      </c>
      <c r="C164" s="38">
        <f>IF(156&lt;=KALKULATOR!$C$10,G163,"")</f>
        <v/>
      </c>
      <c r="D164" s="38">
        <f>IF(156&lt;=KALKULATOR!$C$10,KALKULATOR!$C$21,"")</f>
        <v/>
      </c>
      <c r="E164" s="38">
        <f>IF(156&lt;=KALKULATOR!$C$10,-C164*KALKULATOR!$C$9,"")</f>
        <v/>
      </c>
      <c r="F164" s="38">
        <f>IF(156&lt;=KALKULATOR!$C$10,D164-E164,"")</f>
        <v/>
      </c>
      <c r="G164" s="38">
        <f>IF(156&lt;=KALKULATOR!$C$10,C164+F164,"")</f>
        <v/>
      </c>
    </row>
    <row r="165">
      <c r="B165" s="37">
        <f>IF(157&lt;=KALKULATOR!$C$10,157,"")</f>
        <v/>
      </c>
      <c r="C165" s="38">
        <f>IF(157&lt;=KALKULATOR!$C$10,G164,"")</f>
        <v/>
      </c>
      <c r="D165" s="38">
        <f>IF(157&lt;=KALKULATOR!$C$10,KALKULATOR!$C$21,"")</f>
        <v/>
      </c>
      <c r="E165" s="38">
        <f>IF(157&lt;=KALKULATOR!$C$10,-C165*KALKULATOR!$C$9,"")</f>
        <v/>
      </c>
      <c r="F165" s="38">
        <f>IF(157&lt;=KALKULATOR!$C$10,D165-E165,"")</f>
        <v/>
      </c>
      <c r="G165" s="38">
        <f>IF(157&lt;=KALKULATOR!$C$10,C165+F165,"")</f>
        <v/>
      </c>
    </row>
    <row r="166">
      <c r="B166" s="37">
        <f>IF(158&lt;=KALKULATOR!$C$10,158,"")</f>
        <v/>
      </c>
      <c r="C166" s="38">
        <f>IF(158&lt;=KALKULATOR!$C$10,G165,"")</f>
        <v/>
      </c>
      <c r="D166" s="38">
        <f>IF(158&lt;=KALKULATOR!$C$10,KALKULATOR!$C$21,"")</f>
        <v/>
      </c>
      <c r="E166" s="38">
        <f>IF(158&lt;=KALKULATOR!$C$10,-C166*KALKULATOR!$C$9,"")</f>
        <v/>
      </c>
      <c r="F166" s="38">
        <f>IF(158&lt;=KALKULATOR!$C$10,D166-E166,"")</f>
        <v/>
      </c>
      <c r="G166" s="38">
        <f>IF(158&lt;=KALKULATOR!$C$10,C166+F166,"")</f>
        <v/>
      </c>
    </row>
    <row r="167">
      <c r="B167" s="37">
        <f>IF(159&lt;=KALKULATOR!$C$10,159,"")</f>
        <v/>
      </c>
      <c r="C167" s="38">
        <f>IF(159&lt;=KALKULATOR!$C$10,G166,"")</f>
        <v/>
      </c>
      <c r="D167" s="38">
        <f>IF(159&lt;=KALKULATOR!$C$10,KALKULATOR!$C$21,"")</f>
        <v/>
      </c>
      <c r="E167" s="38">
        <f>IF(159&lt;=KALKULATOR!$C$10,-C167*KALKULATOR!$C$9,"")</f>
        <v/>
      </c>
      <c r="F167" s="38">
        <f>IF(159&lt;=KALKULATOR!$C$10,D167-E167,"")</f>
        <v/>
      </c>
      <c r="G167" s="38">
        <f>IF(159&lt;=KALKULATOR!$C$10,C167+F167,"")</f>
        <v/>
      </c>
    </row>
    <row r="168">
      <c r="B168" s="37">
        <f>IF(160&lt;=KALKULATOR!$C$10,160,"")</f>
        <v/>
      </c>
      <c r="C168" s="38">
        <f>IF(160&lt;=KALKULATOR!$C$10,G167,"")</f>
        <v/>
      </c>
      <c r="D168" s="38">
        <f>IF(160&lt;=KALKULATOR!$C$10,KALKULATOR!$C$21,"")</f>
        <v/>
      </c>
      <c r="E168" s="38">
        <f>IF(160&lt;=KALKULATOR!$C$10,-C168*KALKULATOR!$C$9,"")</f>
        <v/>
      </c>
      <c r="F168" s="38">
        <f>IF(160&lt;=KALKULATOR!$C$10,D168-E168,"")</f>
        <v/>
      </c>
      <c r="G168" s="38">
        <f>IF(160&lt;=KALKULATOR!$C$10,C168+F168,"")</f>
        <v/>
      </c>
    </row>
    <row r="169">
      <c r="B169" s="37">
        <f>IF(161&lt;=KALKULATOR!$C$10,161,"")</f>
        <v/>
      </c>
      <c r="C169" s="38">
        <f>IF(161&lt;=KALKULATOR!$C$10,G168,"")</f>
        <v/>
      </c>
      <c r="D169" s="38">
        <f>IF(161&lt;=KALKULATOR!$C$10,KALKULATOR!$C$21,"")</f>
        <v/>
      </c>
      <c r="E169" s="38">
        <f>IF(161&lt;=KALKULATOR!$C$10,-C169*KALKULATOR!$C$9,"")</f>
        <v/>
      </c>
      <c r="F169" s="38">
        <f>IF(161&lt;=KALKULATOR!$C$10,D169-E169,"")</f>
        <v/>
      </c>
      <c r="G169" s="38">
        <f>IF(161&lt;=KALKULATOR!$C$10,C169+F169,"")</f>
        <v/>
      </c>
    </row>
    <row r="170">
      <c r="B170" s="37">
        <f>IF(162&lt;=KALKULATOR!$C$10,162,"")</f>
        <v/>
      </c>
      <c r="C170" s="38">
        <f>IF(162&lt;=KALKULATOR!$C$10,G169,"")</f>
        <v/>
      </c>
      <c r="D170" s="38">
        <f>IF(162&lt;=KALKULATOR!$C$10,KALKULATOR!$C$21,"")</f>
        <v/>
      </c>
      <c r="E170" s="38">
        <f>IF(162&lt;=KALKULATOR!$C$10,-C170*KALKULATOR!$C$9,"")</f>
        <v/>
      </c>
      <c r="F170" s="38">
        <f>IF(162&lt;=KALKULATOR!$C$10,D170-E170,"")</f>
        <v/>
      </c>
      <c r="G170" s="38">
        <f>IF(162&lt;=KALKULATOR!$C$10,C170+F170,"")</f>
        <v/>
      </c>
    </row>
    <row r="171">
      <c r="B171" s="37">
        <f>IF(163&lt;=KALKULATOR!$C$10,163,"")</f>
        <v/>
      </c>
      <c r="C171" s="38">
        <f>IF(163&lt;=KALKULATOR!$C$10,G170,"")</f>
        <v/>
      </c>
      <c r="D171" s="38">
        <f>IF(163&lt;=KALKULATOR!$C$10,KALKULATOR!$C$21,"")</f>
        <v/>
      </c>
      <c r="E171" s="38">
        <f>IF(163&lt;=KALKULATOR!$C$10,-C171*KALKULATOR!$C$9,"")</f>
        <v/>
      </c>
      <c r="F171" s="38">
        <f>IF(163&lt;=KALKULATOR!$C$10,D171-E171,"")</f>
        <v/>
      </c>
      <c r="G171" s="38">
        <f>IF(163&lt;=KALKULATOR!$C$10,C171+F171,"")</f>
        <v/>
      </c>
    </row>
    <row r="172">
      <c r="B172" s="37">
        <f>IF(164&lt;=KALKULATOR!$C$10,164,"")</f>
        <v/>
      </c>
      <c r="C172" s="38">
        <f>IF(164&lt;=KALKULATOR!$C$10,G171,"")</f>
        <v/>
      </c>
      <c r="D172" s="38">
        <f>IF(164&lt;=KALKULATOR!$C$10,KALKULATOR!$C$21,"")</f>
        <v/>
      </c>
      <c r="E172" s="38">
        <f>IF(164&lt;=KALKULATOR!$C$10,-C172*KALKULATOR!$C$9,"")</f>
        <v/>
      </c>
      <c r="F172" s="38">
        <f>IF(164&lt;=KALKULATOR!$C$10,D172-E172,"")</f>
        <v/>
      </c>
      <c r="G172" s="38">
        <f>IF(164&lt;=KALKULATOR!$C$10,C172+F172,"")</f>
        <v/>
      </c>
    </row>
    <row r="173">
      <c r="B173" s="37">
        <f>IF(165&lt;=KALKULATOR!$C$10,165,"")</f>
        <v/>
      </c>
      <c r="C173" s="38">
        <f>IF(165&lt;=KALKULATOR!$C$10,G172,"")</f>
        <v/>
      </c>
      <c r="D173" s="38">
        <f>IF(165&lt;=KALKULATOR!$C$10,KALKULATOR!$C$21,"")</f>
        <v/>
      </c>
      <c r="E173" s="38">
        <f>IF(165&lt;=KALKULATOR!$C$10,-C173*KALKULATOR!$C$9,"")</f>
        <v/>
      </c>
      <c r="F173" s="38">
        <f>IF(165&lt;=KALKULATOR!$C$10,D173-E173,"")</f>
        <v/>
      </c>
      <c r="G173" s="38">
        <f>IF(165&lt;=KALKULATOR!$C$10,C173+F173,"")</f>
        <v/>
      </c>
    </row>
    <row r="174">
      <c r="B174" s="37">
        <f>IF(166&lt;=KALKULATOR!$C$10,166,"")</f>
        <v/>
      </c>
      <c r="C174" s="38">
        <f>IF(166&lt;=KALKULATOR!$C$10,G173,"")</f>
        <v/>
      </c>
      <c r="D174" s="38">
        <f>IF(166&lt;=KALKULATOR!$C$10,KALKULATOR!$C$21,"")</f>
        <v/>
      </c>
      <c r="E174" s="38">
        <f>IF(166&lt;=KALKULATOR!$C$10,-C174*KALKULATOR!$C$9,"")</f>
        <v/>
      </c>
      <c r="F174" s="38">
        <f>IF(166&lt;=KALKULATOR!$C$10,D174-E174,"")</f>
        <v/>
      </c>
      <c r="G174" s="38">
        <f>IF(166&lt;=KALKULATOR!$C$10,C174+F174,"")</f>
        <v/>
      </c>
    </row>
    <row r="175">
      <c r="B175" s="37">
        <f>IF(167&lt;=KALKULATOR!$C$10,167,"")</f>
        <v/>
      </c>
      <c r="C175" s="38">
        <f>IF(167&lt;=KALKULATOR!$C$10,G174,"")</f>
        <v/>
      </c>
      <c r="D175" s="38">
        <f>IF(167&lt;=KALKULATOR!$C$10,KALKULATOR!$C$21,"")</f>
        <v/>
      </c>
      <c r="E175" s="38">
        <f>IF(167&lt;=KALKULATOR!$C$10,-C175*KALKULATOR!$C$9,"")</f>
        <v/>
      </c>
      <c r="F175" s="38">
        <f>IF(167&lt;=KALKULATOR!$C$10,D175-E175,"")</f>
        <v/>
      </c>
      <c r="G175" s="38">
        <f>IF(167&lt;=KALKULATOR!$C$10,C175+F175,"")</f>
        <v/>
      </c>
    </row>
    <row r="176">
      <c r="B176" s="37">
        <f>IF(168&lt;=KALKULATOR!$C$10,168,"")</f>
        <v/>
      </c>
      <c r="C176" s="38">
        <f>IF(168&lt;=KALKULATOR!$C$10,G175,"")</f>
        <v/>
      </c>
      <c r="D176" s="38">
        <f>IF(168&lt;=KALKULATOR!$C$10,KALKULATOR!$C$21,"")</f>
        <v/>
      </c>
      <c r="E176" s="38">
        <f>IF(168&lt;=KALKULATOR!$C$10,-C176*KALKULATOR!$C$9,"")</f>
        <v/>
      </c>
      <c r="F176" s="38">
        <f>IF(168&lt;=KALKULATOR!$C$10,D176-E176,"")</f>
        <v/>
      </c>
      <c r="G176" s="38">
        <f>IF(168&lt;=KALKULATOR!$C$10,C176+F176,"")</f>
        <v/>
      </c>
    </row>
    <row r="177">
      <c r="B177" s="37">
        <f>IF(169&lt;=KALKULATOR!$C$10,169,"")</f>
        <v/>
      </c>
      <c r="C177" s="38">
        <f>IF(169&lt;=KALKULATOR!$C$10,G176,"")</f>
        <v/>
      </c>
      <c r="D177" s="38">
        <f>IF(169&lt;=KALKULATOR!$C$10,KALKULATOR!$C$21,"")</f>
        <v/>
      </c>
      <c r="E177" s="38">
        <f>IF(169&lt;=KALKULATOR!$C$10,-C177*KALKULATOR!$C$9,"")</f>
        <v/>
      </c>
      <c r="F177" s="38">
        <f>IF(169&lt;=KALKULATOR!$C$10,D177-E177,"")</f>
        <v/>
      </c>
      <c r="G177" s="38">
        <f>IF(169&lt;=KALKULATOR!$C$10,C177+F177,"")</f>
        <v/>
      </c>
    </row>
    <row r="178">
      <c r="B178" s="37">
        <f>IF(170&lt;=KALKULATOR!$C$10,170,"")</f>
        <v/>
      </c>
      <c r="C178" s="38">
        <f>IF(170&lt;=KALKULATOR!$C$10,G177,"")</f>
        <v/>
      </c>
      <c r="D178" s="38">
        <f>IF(170&lt;=KALKULATOR!$C$10,KALKULATOR!$C$21,"")</f>
        <v/>
      </c>
      <c r="E178" s="38">
        <f>IF(170&lt;=KALKULATOR!$C$10,-C178*KALKULATOR!$C$9,"")</f>
        <v/>
      </c>
      <c r="F178" s="38">
        <f>IF(170&lt;=KALKULATOR!$C$10,D178-E178,"")</f>
        <v/>
      </c>
      <c r="G178" s="38">
        <f>IF(170&lt;=KALKULATOR!$C$10,C178+F178,"")</f>
        <v/>
      </c>
    </row>
    <row r="179">
      <c r="B179" s="37">
        <f>IF(171&lt;=KALKULATOR!$C$10,171,"")</f>
        <v/>
      </c>
      <c r="C179" s="38">
        <f>IF(171&lt;=KALKULATOR!$C$10,G178,"")</f>
        <v/>
      </c>
      <c r="D179" s="38">
        <f>IF(171&lt;=KALKULATOR!$C$10,KALKULATOR!$C$21,"")</f>
        <v/>
      </c>
      <c r="E179" s="38">
        <f>IF(171&lt;=KALKULATOR!$C$10,-C179*KALKULATOR!$C$9,"")</f>
        <v/>
      </c>
      <c r="F179" s="38">
        <f>IF(171&lt;=KALKULATOR!$C$10,D179-E179,"")</f>
        <v/>
      </c>
      <c r="G179" s="38">
        <f>IF(171&lt;=KALKULATOR!$C$10,C179+F179,"")</f>
        <v/>
      </c>
    </row>
    <row r="180">
      <c r="B180" s="37">
        <f>IF(172&lt;=KALKULATOR!$C$10,172,"")</f>
        <v/>
      </c>
      <c r="C180" s="38">
        <f>IF(172&lt;=KALKULATOR!$C$10,G179,"")</f>
        <v/>
      </c>
      <c r="D180" s="38">
        <f>IF(172&lt;=KALKULATOR!$C$10,KALKULATOR!$C$21,"")</f>
        <v/>
      </c>
      <c r="E180" s="38">
        <f>IF(172&lt;=KALKULATOR!$C$10,-C180*KALKULATOR!$C$9,"")</f>
        <v/>
      </c>
      <c r="F180" s="38">
        <f>IF(172&lt;=KALKULATOR!$C$10,D180-E180,"")</f>
        <v/>
      </c>
      <c r="G180" s="38">
        <f>IF(172&lt;=KALKULATOR!$C$10,C180+F180,"")</f>
        <v/>
      </c>
    </row>
    <row r="181">
      <c r="B181" s="37">
        <f>IF(173&lt;=KALKULATOR!$C$10,173,"")</f>
        <v/>
      </c>
      <c r="C181" s="38">
        <f>IF(173&lt;=KALKULATOR!$C$10,G180,"")</f>
        <v/>
      </c>
      <c r="D181" s="38">
        <f>IF(173&lt;=KALKULATOR!$C$10,KALKULATOR!$C$21,"")</f>
        <v/>
      </c>
      <c r="E181" s="38">
        <f>IF(173&lt;=KALKULATOR!$C$10,-C181*KALKULATOR!$C$9,"")</f>
        <v/>
      </c>
      <c r="F181" s="38">
        <f>IF(173&lt;=KALKULATOR!$C$10,D181-E181,"")</f>
        <v/>
      </c>
      <c r="G181" s="38">
        <f>IF(173&lt;=KALKULATOR!$C$10,C181+F181,"")</f>
        <v/>
      </c>
    </row>
    <row r="182">
      <c r="B182" s="37">
        <f>IF(174&lt;=KALKULATOR!$C$10,174,"")</f>
        <v/>
      </c>
      <c r="C182" s="38">
        <f>IF(174&lt;=KALKULATOR!$C$10,G181,"")</f>
        <v/>
      </c>
      <c r="D182" s="38">
        <f>IF(174&lt;=KALKULATOR!$C$10,KALKULATOR!$C$21,"")</f>
        <v/>
      </c>
      <c r="E182" s="38">
        <f>IF(174&lt;=KALKULATOR!$C$10,-C182*KALKULATOR!$C$9,"")</f>
        <v/>
      </c>
      <c r="F182" s="38">
        <f>IF(174&lt;=KALKULATOR!$C$10,D182-E182,"")</f>
        <v/>
      </c>
      <c r="G182" s="38">
        <f>IF(174&lt;=KALKULATOR!$C$10,C182+F182,"")</f>
        <v/>
      </c>
    </row>
    <row r="183">
      <c r="B183" s="37">
        <f>IF(175&lt;=KALKULATOR!$C$10,175,"")</f>
        <v/>
      </c>
      <c r="C183" s="38">
        <f>IF(175&lt;=KALKULATOR!$C$10,G182,"")</f>
        <v/>
      </c>
      <c r="D183" s="38">
        <f>IF(175&lt;=KALKULATOR!$C$10,KALKULATOR!$C$21,"")</f>
        <v/>
      </c>
      <c r="E183" s="38">
        <f>IF(175&lt;=KALKULATOR!$C$10,-C183*KALKULATOR!$C$9,"")</f>
        <v/>
      </c>
      <c r="F183" s="38">
        <f>IF(175&lt;=KALKULATOR!$C$10,D183-E183,"")</f>
        <v/>
      </c>
      <c r="G183" s="38">
        <f>IF(175&lt;=KALKULATOR!$C$10,C183+F183,"")</f>
        <v/>
      </c>
    </row>
    <row r="184">
      <c r="B184" s="37">
        <f>IF(176&lt;=KALKULATOR!$C$10,176,"")</f>
        <v/>
      </c>
      <c r="C184" s="38">
        <f>IF(176&lt;=KALKULATOR!$C$10,G183,"")</f>
        <v/>
      </c>
      <c r="D184" s="38">
        <f>IF(176&lt;=KALKULATOR!$C$10,KALKULATOR!$C$21,"")</f>
        <v/>
      </c>
      <c r="E184" s="38">
        <f>IF(176&lt;=KALKULATOR!$C$10,-C184*KALKULATOR!$C$9,"")</f>
        <v/>
      </c>
      <c r="F184" s="38">
        <f>IF(176&lt;=KALKULATOR!$C$10,D184-E184,"")</f>
        <v/>
      </c>
      <c r="G184" s="38">
        <f>IF(176&lt;=KALKULATOR!$C$10,C184+F184,"")</f>
        <v/>
      </c>
    </row>
    <row r="185">
      <c r="B185" s="37">
        <f>IF(177&lt;=KALKULATOR!$C$10,177,"")</f>
        <v/>
      </c>
      <c r="C185" s="38">
        <f>IF(177&lt;=KALKULATOR!$C$10,G184,"")</f>
        <v/>
      </c>
      <c r="D185" s="38">
        <f>IF(177&lt;=KALKULATOR!$C$10,KALKULATOR!$C$21,"")</f>
        <v/>
      </c>
      <c r="E185" s="38">
        <f>IF(177&lt;=KALKULATOR!$C$10,-C185*KALKULATOR!$C$9,"")</f>
        <v/>
      </c>
      <c r="F185" s="38">
        <f>IF(177&lt;=KALKULATOR!$C$10,D185-E185,"")</f>
        <v/>
      </c>
      <c r="G185" s="38">
        <f>IF(177&lt;=KALKULATOR!$C$10,C185+F185,"")</f>
        <v/>
      </c>
    </row>
    <row r="186">
      <c r="B186" s="37">
        <f>IF(178&lt;=KALKULATOR!$C$10,178,"")</f>
        <v/>
      </c>
      <c r="C186" s="38">
        <f>IF(178&lt;=KALKULATOR!$C$10,G185,"")</f>
        <v/>
      </c>
      <c r="D186" s="38">
        <f>IF(178&lt;=KALKULATOR!$C$10,KALKULATOR!$C$21,"")</f>
        <v/>
      </c>
      <c r="E186" s="38">
        <f>IF(178&lt;=KALKULATOR!$C$10,-C186*KALKULATOR!$C$9,"")</f>
        <v/>
      </c>
      <c r="F186" s="38">
        <f>IF(178&lt;=KALKULATOR!$C$10,D186-E186,"")</f>
        <v/>
      </c>
      <c r="G186" s="38">
        <f>IF(178&lt;=KALKULATOR!$C$10,C186+F186,"")</f>
        <v/>
      </c>
    </row>
    <row r="187">
      <c r="B187" s="37">
        <f>IF(179&lt;=KALKULATOR!$C$10,179,"")</f>
        <v/>
      </c>
      <c r="C187" s="38">
        <f>IF(179&lt;=KALKULATOR!$C$10,G186,"")</f>
        <v/>
      </c>
      <c r="D187" s="38">
        <f>IF(179&lt;=KALKULATOR!$C$10,KALKULATOR!$C$21,"")</f>
        <v/>
      </c>
      <c r="E187" s="38">
        <f>IF(179&lt;=KALKULATOR!$C$10,-C187*KALKULATOR!$C$9,"")</f>
        <v/>
      </c>
      <c r="F187" s="38">
        <f>IF(179&lt;=KALKULATOR!$C$10,D187-E187,"")</f>
        <v/>
      </c>
      <c r="G187" s="38">
        <f>IF(179&lt;=KALKULATOR!$C$10,C187+F187,"")</f>
        <v/>
      </c>
    </row>
    <row r="188">
      <c r="B188" s="37">
        <f>IF(180&lt;=KALKULATOR!$C$10,180,"")</f>
        <v/>
      </c>
      <c r="C188" s="38">
        <f>IF(180&lt;=KALKULATOR!$C$10,G187,"")</f>
        <v/>
      </c>
      <c r="D188" s="38">
        <f>IF(180&lt;=KALKULATOR!$C$10,KALKULATOR!$C$21,"")</f>
        <v/>
      </c>
      <c r="E188" s="38">
        <f>IF(180&lt;=KALKULATOR!$C$10,-C188*KALKULATOR!$C$9,"")</f>
        <v/>
      </c>
      <c r="F188" s="38">
        <f>IF(180&lt;=KALKULATOR!$C$10,D188-E188,"")</f>
        <v/>
      </c>
      <c r="G188" s="38">
        <f>IF(180&lt;=KALKULATOR!$C$10,C188+F188,"")</f>
        <v/>
      </c>
    </row>
    <row r="189">
      <c r="B189" s="37">
        <f>IF(181&lt;=KALKULATOR!$C$10,181,"")</f>
        <v/>
      </c>
      <c r="C189" s="38">
        <f>IF(181&lt;=KALKULATOR!$C$10,G188,"")</f>
        <v/>
      </c>
      <c r="D189" s="38">
        <f>IF(181&lt;=KALKULATOR!$C$10,KALKULATOR!$C$21,"")</f>
        <v/>
      </c>
      <c r="E189" s="38">
        <f>IF(181&lt;=KALKULATOR!$C$10,-C189*KALKULATOR!$C$9,"")</f>
        <v/>
      </c>
      <c r="F189" s="38">
        <f>IF(181&lt;=KALKULATOR!$C$10,D189-E189,"")</f>
        <v/>
      </c>
      <c r="G189" s="38">
        <f>IF(181&lt;=KALKULATOR!$C$10,C189+F189,"")</f>
        <v/>
      </c>
    </row>
    <row r="190">
      <c r="B190" s="37">
        <f>IF(182&lt;=KALKULATOR!$C$10,182,"")</f>
        <v/>
      </c>
      <c r="C190" s="38">
        <f>IF(182&lt;=KALKULATOR!$C$10,G189,"")</f>
        <v/>
      </c>
      <c r="D190" s="38">
        <f>IF(182&lt;=KALKULATOR!$C$10,KALKULATOR!$C$21,"")</f>
        <v/>
      </c>
      <c r="E190" s="38">
        <f>IF(182&lt;=KALKULATOR!$C$10,-C190*KALKULATOR!$C$9,"")</f>
        <v/>
      </c>
      <c r="F190" s="38">
        <f>IF(182&lt;=KALKULATOR!$C$10,D190-E190,"")</f>
        <v/>
      </c>
      <c r="G190" s="38">
        <f>IF(182&lt;=KALKULATOR!$C$10,C190+F190,"")</f>
        <v/>
      </c>
    </row>
    <row r="191">
      <c r="B191" s="37">
        <f>IF(183&lt;=KALKULATOR!$C$10,183,"")</f>
        <v/>
      </c>
      <c r="C191" s="38">
        <f>IF(183&lt;=KALKULATOR!$C$10,G190,"")</f>
        <v/>
      </c>
      <c r="D191" s="38">
        <f>IF(183&lt;=KALKULATOR!$C$10,KALKULATOR!$C$21,"")</f>
        <v/>
      </c>
      <c r="E191" s="38">
        <f>IF(183&lt;=KALKULATOR!$C$10,-C191*KALKULATOR!$C$9,"")</f>
        <v/>
      </c>
      <c r="F191" s="38">
        <f>IF(183&lt;=KALKULATOR!$C$10,D191-E191,"")</f>
        <v/>
      </c>
      <c r="G191" s="38">
        <f>IF(183&lt;=KALKULATOR!$C$10,C191+F191,"")</f>
        <v/>
      </c>
    </row>
    <row r="192">
      <c r="B192" s="37">
        <f>IF(184&lt;=KALKULATOR!$C$10,184,"")</f>
        <v/>
      </c>
      <c r="C192" s="38">
        <f>IF(184&lt;=KALKULATOR!$C$10,G191,"")</f>
        <v/>
      </c>
      <c r="D192" s="38">
        <f>IF(184&lt;=KALKULATOR!$C$10,KALKULATOR!$C$21,"")</f>
        <v/>
      </c>
      <c r="E192" s="38">
        <f>IF(184&lt;=KALKULATOR!$C$10,-C192*KALKULATOR!$C$9,"")</f>
        <v/>
      </c>
      <c r="F192" s="38">
        <f>IF(184&lt;=KALKULATOR!$C$10,D192-E192,"")</f>
        <v/>
      </c>
      <c r="G192" s="38">
        <f>IF(184&lt;=KALKULATOR!$C$10,C192+F192,"")</f>
        <v/>
      </c>
    </row>
    <row r="193">
      <c r="B193" s="37">
        <f>IF(185&lt;=KALKULATOR!$C$10,185,"")</f>
        <v/>
      </c>
      <c r="C193" s="38">
        <f>IF(185&lt;=KALKULATOR!$C$10,G192,"")</f>
        <v/>
      </c>
      <c r="D193" s="38">
        <f>IF(185&lt;=KALKULATOR!$C$10,KALKULATOR!$C$21,"")</f>
        <v/>
      </c>
      <c r="E193" s="38">
        <f>IF(185&lt;=KALKULATOR!$C$10,-C193*KALKULATOR!$C$9,"")</f>
        <v/>
      </c>
      <c r="F193" s="38">
        <f>IF(185&lt;=KALKULATOR!$C$10,D193-E193,"")</f>
        <v/>
      </c>
      <c r="G193" s="38">
        <f>IF(185&lt;=KALKULATOR!$C$10,C193+F193,"")</f>
        <v/>
      </c>
    </row>
    <row r="194">
      <c r="B194" s="37">
        <f>IF(186&lt;=KALKULATOR!$C$10,186,"")</f>
        <v/>
      </c>
      <c r="C194" s="38">
        <f>IF(186&lt;=KALKULATOR!$C$10,G193,"")</f>
        <v/>
      </c>
      <c r="D194" s="38">
        <f>IF(186&lt;=KALKULATOR!$C$10,KALKULATOR!$C$21,"")</f>
        <v/>
      </c>
      <c r="E194" s="38">
        <f>IF(186&lt;=KALKULATOR!$C$10,-C194*KALKULATOR!$C$9,"")</f>
        <v/>
      </c>
      <c r="F194" s="38">
        <f>IF(186&lt;=KALKULATOR!$C$10,D194-E194,"")</f>
        <v/>
      </c>
      <c r="G194" s="38">
        <f>IF(186&lt;=KALKULATOR!$C$10,C194+F194,"")</f>
        <v/>
      </c>
    </row>
    <row r="195">
      <c r="B195" s="37">
        <f>IF(187&lt;=KALKULATOR!$C$10,187,"")</f>
        <v/>
      </c>
      <c r="C195" s="38">
        <f>IF(187&lt;=KALKULATOR!$C$10,G194,"")</f>
        <v/>
      </c>
      <c r="D195" s="38">
        <f>IF(187&lt;=KALKULATOR!$C$10,KALKULATOR!$C$21,"")</f>
        <v/>
      </c>
      <c r="E195" s="38">
        <f>IF(187&lt;=KALKULATOR!$C$10,-C195*KALKULATOR!$C$9,"")</f>
        <v/>
      </c>
      <c r="F195" s="38">
        <f>IF(187&lt;=KALKULATOR!$C$10,D195-E195,"")</f>
        <v/>
      </c>
      <c r="G195" s="38">
        <f>IF(187&lt;=KALKULATOR!$C$10,C195+F195,"")</f>
        <v/>
      </c>
    </row>
    <row r="196">
      <c r="B196" s="37">
        <f>IF(188&lt;=KALKULATOR!$C$10,188,"")</f>
        <v/>
      </c>
      <c r="C196" s="38">
        <f>IF(188&lt;=KALKULATOR!$C$10,G195,"")</f>
        <v/>
      </c>
      <c r="D196" s="38">
        <f>IF(188&lt;=KALKULATOR!$C$10,KALKULATOR!$C$21,"")</f>
        <v/>
      </c>
      <c r="E196" s="38">
        <f>IF(188&lt;=KALKULATOR!$C$10,-C196*KALKULATOR!$C$9,"")</f>
        <v/>
      </c>
      <c r="F196" s="38">
        <f>IF(188&lt;=KALKULATOR!$C$10,D196-E196,"")</f>
        <v/>
      </c>
      <c r="G196" s="38">
        <f>IF(188&lt;=KALKULATOR!$C$10,C196+F196,"")</f>
        <v/>
      </c>
    </row>
    <row r="197">
      <c r="B197" s="37">
        <f>IF(189&lt;=KALKULATOR!$C$10,189,"")</f>
        <v/>
      </c>
      <c r="C197" s="38">
        <f>IF(189&lt;=KALKULATOR!$C$10,G196,"")</f>
        <v/>
      </c>
      <c r="D197" s="38">
        <f>IF(189&lt;=KALKULATOR!$C$10,KALKULATOR!$C$21,"")</f>
        <v/>
      </c>
      <c r="E197" s="38">
        <f>IF(189&lt;=KALKULATOR!$C$10,-C197*KALKULATOR!$C$9,"")</f>
        <v/>
      </c>
      <c r="F197" s="38">
        <f>IF(189&lt;=KALKULATOR!$C$10,D197-E197,"")</f>
        <v/>
      </c>
      <c r="G197" s="38">
        <f>IF(189&lt;=KALKULATOR!$C$10,C197+F197,"")</f>
        <v/>
      </c>
    </row>
    <row r="198">
      <c r="B198" s="37">
        <f>IF(190&lt;=KALKULATOR!$C$10,190,"")</f>
        <v/>
      </c>
      <c r="C198" s="38">
        <f>IF(190&lt;=KALKULATOR!$C$10,G197,"")</f>
        <v/>
      </c>
      <c r="D198" s="38">
        <f>IF(190&lt;=KALKULATOR!$C$10,KALKULATOR!$C$21,"")</f>
        <v/>
      </c>
      <c r="E198" s="38">
        <f>IF(190&lt;=KALKULATOR!$C$10,-C198*KALKULATOR!$C$9,"")</f>
        <v/>
      </c>
      <c r="F198" s="38">
        <f>IF(190&lt;=KALKULATOR!$C$10,D198-E198,"")</f>
        <v/>
      </c>
      <c r="G198" s="38">
        <f>IF(190&lt;=KALKULATOR!$C$10,C198+F198,"")</f>
        <v/>
      </c>
    </row>
    <row r="199">
      <c r="B199" s="37">
        <f>IF(191&lt;=KALKULATOR!$C$10,191,"")</f>
        <v/>
      </c>
      <c r="C199" s="38">
        <f>IF(191&lt;=KALKULATOR!$C$10,G198,"")</f>
        <v/>
      </c>
      <c r="D199" s="38">
        <f>IF(191&lt;=KALKULATOR!$C$10,KALKULATOR!$C$21,"")</f>
        <v/>
      </c>
      <c r="E199" s="38">
        <f>IF(191&lt;=KALKULATOR!$C$10,-C199*KALKULATOR!$C$9,"")</f>
        <v/>
      </c>
      <c r="F199" s="38">
        <f>IF(191&lt;=KALKULATOR!$C$10,D199-E199,"")</f>
        <v/>
      </c>
      <c r="G199" s="38">
        <f>IF(191&lt;=KALKULATOR!$C$10,C199+F199,"")</f>
        <v/>
      </c>
    </row>
    <row r="200">
      <c r="B200" s="37">
        <f>IF(192&lt;=KALKULATOR!$C$10,192,"")</f>
        <v/>
      </c>
      <c r="C200" s="38">
        <f>IF(192&lt;=KALKULATOR!$C$10,G199,"")</f>
        <v/>
      </c>
      <c r="D200" s="38">
        <f>IF(192&lt;=KALKULATOR!$C$10,KALKULATOR!$C$21,"")</f>
        <v/>
      </c>
      <c r="E200" s="38">
        <f>IF(192&lt;=KALKULATOR!$C$10,-C200*KALKULATOR!$C$9,"")</f>
        <v/>
      </c>
      <c r="F200" s="38">
        <f>IF(192&lt;=KALKULATOR!$C$10,D200-E200,"")</f>
        <v/>
      </c>
      <c r="G200" s="38">
        <f>IF(192&lt;=KALKULATOR!$C$10,C200+F200,"")</f>
        <v/>
      </c>
    </row>
    <row r="201">
      <c r="B201" s="37">
        <f>IF(193&lt;=KALKULATOR!$C$10,193,"")</f>
        <v/>
      </c>
      <c r="C201" s="38">
        <f>IF(193&lt;=KALKULATOR!$C$10,G200,"")</f>
        <v/>
      </c>
      <c r="D201" s="38">
        <f>IF(193&lt;=KALKULATOR!$C$10,KALKULATOR!$C$21,"")</f>
        <v/>
      </c>
      <c r="E201" s="38">
        <f>IF(193&lt;=KALKULATOR!$C$10,-C201*KALKULATOR!$C$9,"")</f>
        <v/>
      </c>
      <c r="F201" s="38">
        <f>IF(193&lt;=KALKULATOR!$C$10,D201-E201,"")</f>
        <v/>
      </c>
      <c r="G201" s="38">
        <f>IF(193&lt;=KALKULATOR!$C$10,C201+F201,"")</f>
        <v/>
      </c>
    </row>
    <row r="202">
      <c r="B202" s="37">
        <f>IF(194&lt;=KALKULATOR!$C$10,194,"")</f>
        <v/>
      </c>
      <c r="C202" s="38">
        <f>IF(194&lt;=KALKULATOR!$C$10,G201,"")</f>
        <v/>
      </c>
      <c r="D202" s="38">
        <f>IF(194&lt;=KALKULATOR!$C$10,KALKULATOR!$C$21,"")</f>
        <v/>
      </c>
      <c r="E202" s="38">
        <f>IF(194&lt;=KALKULATOR!$C$10,-C202*KALKULATOR!$C$9,"")</f>
        <v/>
      </c>
      <c r="F202" s="38">
        <f>IF(194&lt;=KALKULATOR!$C$10,D202-E202,"")</f>
        <v/>
      </c>
      <c r="G202" s="38">
        <f>IF(194&lt;=KALKULATOR!$C$10,C202+F202,"")</f>
        <v/>
      </c>
    </row>
    <row r="203">
      <c r="B203" s="37">
        <f>IF(195&lt;=KALKULATOR!$C$10,195,"")</f>
        <v/>
      </c>
      <c r="C203" s="38">
        <f>IF(195&lt;=KALKULATOR!$C$10,G202,"")</f>
        <v/>
      </c>
      <c r="D203" s="38">
        <f>IF(195&lt;=KALKULATOR!$C$10,KALKULATOR!$C$21,"")</f>
        <v/>
      </c>
      <c r="E203" s="38">
        <f>IF(195&lt;=KALKULATOR!$C$10,-C203*KALKULATOR!$C$9,"")</f>
        <v/>
      </c>
      <c r="F203" s="38">
        <f>IF(195&lt;=KALKULATOR!$C$10,D203-E203,"")</f>
        <v/>
      </c>
      <c r="G203" s="38">
        <f>IF(195&lt;=KALKULATOR!$C$10,C203+F203,"")</f>
        <v/>
      </c>
    </row>
    <row r="204">
      <c r="B204" s="37">
        <f>IF(196&lt;=KALKULATOR!$C$10,196,"")</f>
        <v/>
      </c>
      <c r="C204" s="38">
        <f>IF(196&lt;=KALKULATOR!$C$10,G203,"")</f>
        <v/>
      </c>
      <c r="D204" s="38">
        <f>IF(196&lt;=KALKULATOR!$C$10,KALKULATOR!$C$21,"")</f>
        <v/>
      </c>
      <c r="E204" s="38">
        <f>IF(196&lt;=KALKULATOR!$C$10,-C204*KALKULATOR!$C$9,"")</f>
        <v/>
      </c>
      <c r="F204" s="38">
        <f>IF(196&lt;=KALKULATOR!$C$10,D204-E204,"")</f>
        <v/>
      </c>
      <c r="G204" s="38">
        <f>IF(196&lt;=KALKULATOR!$C$10,C204+F204,"")</f>
        <v/>
      </c>
    </row>
    <row r="205">
      <c r="B205" s="37">
        <f>IF(197&lt;=KALKULATOR!$C$10,197,"")</f>
        <v/>
      </c>
      <c r="C205" s="38">
        <f>IF(197&lt;=KALKULATOR!$C$10,G204,"")</f>
        <v/>
      </c>
      <c r="D205" s="38">
        <f>IF(197&lt;=KALKULATOR!$C$10,KALKULATOR!$C$21,"")</f>
        <v/>
      </c>
      <c r="E205" s="38">
        <f>IF(197&lt;=KALKULATOR!$C$10,-C205*KALKULATOR!$C$9,"")</f>
        <v/>
      </c>
      <c r="F205" s="38">
        <f>IF(197&lt;=KALKULATOR!$C$10,D205-E205,"")</f>
        <v/>
      </c>
      <c r="G205" s="38">
        <f>IF(197&lt;=KALKULATOR!$C$10,C205+F205,"")</f>
        <v/>
      </c>
    </row>
    <row r="206">
      <c r="B206" s="37">
        <f>IF(198&lt;=KALKULATOR!$C$10,198,"")</f>
        <v/>
      </c>
      <c r="C206" s="38">
        <f>IF(198&lt;=KALKULATOR!$C$10,G205,"")</f>
        <v/>
      </c>
      <c r="D206" s="38">
        <f>IF(198&lt;=KALKULATOR!$C$10,KALKULATOR!$C$21,"")</f>
        <v/>
      </c>
      <c r="E206" s="38">
        <f>IF(198&lt;=KALKULATOR!$C$10,-C206*KALKULATOR!$C$9,"")</f>
        <v/>
      </c>
      <c r="F206" s="38">
        <f>IF(198&lt;=KALKULATOR!$C$10,D206-E206,"")</f>
        <v/>
      </c>
      <c r="G206" s="38">
        <f>IF(198&lt;=KALKULATOR!$C$10,C206+F206,"")</f>
        <v/>
      </c>
    </row>
    <row r="207">
      <c r="B207" s="37">
        <f>IF(199&lt;=KALKULATOR!$C$10,199,"")</f>
        <v/>
      </c>
      <c r="C207" s="38">
        <f>IF(199&lt;=KALKULATOR!$C$10,G206,"")</f>
        <v/>
      </c>
      <c r="D207" s="38">
        <f>IF(199&lt;=KALKULATOR!$C$10,KALKULATOR!$C$21,"")</f>
        <v/>
      </c>
      <c r="E207" s="38">
        <f>IF(199&lt;=KALKULATOR!$C$10,-C207*KALKULATOR!$C$9,"")</f>
        <v/>
      </c>
      <c r="F207" s="38">
        <f>IF(199&lt;=KALKULATOR!$C$10,D207-E207,"")</f>
        <v/>
      </c>
      <c r="G207" s="38">
        <f>IF(199&lt;=KALKULATOR!$C$10,C207+F207,"")</f>
        <v/>
      </c>
    </row>
    <row r="208">
      <c r="B208" s="37">
        <f>IF(200&lt;=KALKULATOR!$C$10,200,"")</f>
        <v/>
      </c>
      <c r="C208" s="38">
        <f>IF(200&lt;=KALKULATOR!$C$10,G207,"")</f>
        <v/>
      </c>
      <c r="D208" s="38">
        <f>IF(200&lt;=KALKULATOR!$C$10,KALKULATOR!$C$21,"")</f>
        <v/>
      </c>
      <c r="E208" s="38">
        <f>IF(200&lt;=KALKULATOR!$C$10,-C208*KALKULATOR!$C$9,"")</f>
        <v/>
      </c>
      <c r="F208" s="38">
        <f>IF(200&lt;=KALKULATOR!$C$10,D208-E208,"")</f>
        <v/>
      </c>
      <c r="G208" s="38">
        <f>IF(200&lt;=KALKULATOR!$C$10,C208+F208,"")</f>
        <v/>
      </c>
    </row>
    <row r="209">
      <c r="B209" s="37">
        <f>IF(201&lt;=KALKULATOR!$C$10,201,"")</f>
        <v/>
      </c>
      <c r="C209" s="38">
        <f>IF(201&lt;=KALKULATOR!$C$10,G208,"")</f>
        <v/>
      </c>
      <c r="D209" s="38">
        <f>IF(201&lt;=KALKULATOR!$C$10,KALKULATOR!$C$21,"")</f>
        <v/>
      </c>
      <c r="E209" s="38">
        <f>IF(201&lt;=KALKULATOR!$C$10,-C209*KALKULATOR!$C$9,"")</f>
        <v/>
      </c>
      <c r="F209" s="38">
        <f>IF(201&lt;=KALKULATOR!$C$10,D209-E209,"")</f>
        <v/>
      </c>
      <c r="G209" s="38">
        <f>IF(201&lt;=KALKULATOR!$C$10,C209+F209,"")</f>
        <v/>
      </c>
    </row>
    <row r="210">
      <c r="B210" s="37">
        <f>IF(202&lt;=KALKULATOR!$C$10,202,"")</f>
        <v/>
      </c>
      <c r="C210" s="38">
        <f>IF(202&lt;=KALKULATOR!$C$10,G209,"")</f>
        <v/>
      </c>
      <c r="D210" s="38">
        <f>IF(202&lt;=KALKULATOR!$C$10,KALKULATOR!$C$21,"")</f>
        <v/>
      </c>
      <c r="E210" s="38">
        <f>IF(202&lt;=KALKULATOR!$C$10,-C210*KALKULATOR!$C$9,"")</f>
        <v/>
      </c>
      <c r="F210" s="38">
        <f>IF(202&lt;=KALKULATOR!$C$10,D210-E210,"")</f>
        <v/>
      </c>
      <c r="G210" s="38">
        <f>IF(202&lt;=KALKULATOR!$C$10,C210+F210,"")</f>
        <v/>
      </c>
    </row>
    <row r="211">
      <c r="B211" s="37">
        <f>IF(203&lt;=KALKULATOR!$C$10,203,"")</f>
        <v/>
      </c>
      <c r="C211" s="38">
        <f>IF(203&lt;=KALKULATOR!$C$10,G210,"")</f>
        <v/>
      </c>
      <c r="D211" s="38">
        <f>IF(203&lt;=KALKULATOR!$C$10,KALKULATOR!$C$21,"")</f>
        <v/>
      </c>
      <c r="E211" s="38">
        <f>IF(203&lt;=KALKULATOR!$C$10,-C211*KALKULATOR!$C$9,"")</f>
        <v/>
      </c>
      <c r="F211" s="38">
        <f>IF(203&lt;=KALKULATOR!$C$10,D211-E211,"")</f>
        <v/>
      </c>
      <c r="G211" s="38">
        <f>IF(203&lt;=KALKULATOR!$C$10,C211+F211,"")</f>
        <v/>
      </c>
    </row>
    <row r="212">
      <c r="B212" s="37">
        <f>IF(204&lt;=KALKULATOR!$C$10,204,"")</f>
        <v/>
      </c>
      <c r="C212" s="38">
        <f>IF(204&lt;=KALKULATOR!$C$10,G211,"")</f>
        <v/>
      </c>
      <c r="D212" s="38">
        <f>IF(204&lt;=KALKULATOR!$C$10,KALKULATOR!$C$21,"")</f>
        <v/>
      </c>
      <c r="E212" s="38">
        <f>IF(204&lt;=KALKULATOR!$C$10,-C212*KALKULATOR!$C$9,"")</f>
        <v/>
      </c>
      <c r="F212" s="38">
        <f>IF(204&lt;=KALKULATOR!$C$10,D212-E212,"")</f>
        <v/>
      </c>
      <c r="G212" s="38">
        <f>IF(204&lt;=KALKULATOR!$C$10,C212+F212,"")</f>
        <v/>
      </c>
    </row>
    <row r="213">
      <c r="B213" s="37">
        <f>IF(205&lt;=KALKULATOR!$C$10,205,"")</f>
        <v/>
      </c>
      <c r="C213" s="38">
        <f>IF(205&lt;=KALKULATOR!$C$10,G212,"")</f>
        <v/>
      </c>
      <c r="D213" s="38">
        <f>IF(205&lt;=KALKULATOR!$C$10,KALKULATOR!$C$21,"")</f>
        <v/>
      </c>
      <c r="E213" s="38">
        <f>IF(205&lt;=KALKULATOR!$C$10,-C213*KALKULATOR!$C$9,"")</f>
        <v/>
      </c>
      <c r="F213" s="38">
        <f>IF(205&lt;=KALKULATOR!$C$10,D213-E213,"")</f>
        <v/>
      </c>
      <c r="G213" s="38">
        <f>IF(205&lt;=KALKULATOR!$C$10,C213+F213,"")</f>
        <v/>
      </c>
    </row>
    <row r="214">
      <c r="B214" s="37">
        <f>IF(206&lt;=KALKULATOR!$C$10,206,"")</f>
        <v/>
      </c>
      <c r="C214" s="38">
        <f>IF(206&lt;=KALKULATOR!$C$10,G213,"")</f>
        <v/>
      </c>
      <c r="D214" s="38">
        <f>IF(206&lt;=KALKULATOR!$C$10,KALKULATOR!$C$21,"")</f>
        <v/>
      </c>
      <c r="E214" s="38">
        <f>IF(206&lt;=KALKULATOR!$C$10,-C214*KALKULATOR!$C$9,"")</f>
        <v/>
      </c>
      <c r="F214" s="38">
        <f>IF(206&lt;=KALKULATOR!$C$10,D214-E214,"")</f>
        <v/>
      </c>
      <c r="G214" s="38">
        <f>IF(206&lt;=KALKULATOR!$C$10,C214+F214,"")</f>
        <v/>
      </c>
    </row>
    <row r="215">
      <c r="B215" s="37">
        <f>IF(207&lt;=KALKULATOR!$C$10,207,"")</f>
        <v/>
      </c>
      <c r="C215" s="38">
        <f>IF(207&lt;=KALKULATOR!$C$10,G214,"")</f>
        <v/>
      </c>
      <c r="D215" s="38">
        <f>IF(207&lt;=KALKULATOR!$C$10,KALKULATOR!$C$21,"")</f>
        <v/>
      </c>
      <c r="E215" s="38">
        <f>IF(207&lt;=KALKULATOR!$C$10,-C215*KALKULATOR!$C$9,"")</f>
        <v/>
      </c>
      <c r="F215" s="38">
        <f>IF(207&lt;=KALKULATOR!$C$10,D215-E215,"")</f>
        <v/>
      </c>
      <c r="G215" s="38">
        <f>IF(207&lt;=KALKULATOR!$C$10,C215+F215,"")</f>
        <v/>
      </c>
    </row>
    <row r="216">
      <c r="B216" s="37">
        <f>IF(208&lt;=KALKULATOR!$C$10,208,"")</f>
        <v/>
      </c>
      <c r="C216" s="38">
        <f>IF(208&lt;=KALKULATOR!$C$10,G215,"")</f>
        <v/>
      </c>
      <c r="D216" s="38">
        <f>IF(208&lt;=KALKULATOR!$C$10,KALKULATOR!$C$21,"")</f>
        <v/>
      </c>
      <c r="E216" s="38">
        <f>IF(208&lt;=KALKULATOR!$C$10,-C216*KALKULATOR!$C$9,"")</f>
        <v/>
      </c>
      <c r="F216" s="38">
        <f>IF(208&lt;=KALKULATOR!$C$10,D216-E216,"")</f>
        <v/>
      </c>
      <c r="G216" s="38">
        <f>IF(208&lt;=KALKULATOR!$C$10,C216+F216,"")</f>
        <v/>
      </c>
    </row>
    <row r="217">
      <c r="B217" s="37">
        <f>IF(209&lt;=KALKULATOR!$C$10,209,"")</f>
        <v/>
      </c>
      <c r="C217" s="38">
        <f>IF(209&lt;=KALKULATOR!$C$10,G216,"")</f>
        <v/>
      </c>
      <c r="D217" s="38">
        <f>IF(209&lt;=KALKULATOR!$C$10,KALKULATOR!$C$21,"")</f>
        <v/>
      </c>
      <c r="E217" s="38">
        <f>IF(209&lt;=KALKULATOR!$C$10,-C217*KALKULATOR!$C$9,"")</f>
        <v/>
      </c>
      <c r="F217" s="38">
        <f>IF(209&lt;=KALKULATOR!$C$10,D217-E217,"")</f>
        <v/>
      </c>
      <c r="G217" s="38">
        <f>IF(209&lt;=KALKULATOR!$C$10,C217+F217,"")</f>
        <v/>
      </c>
    </row>
    <row r="218">
      <c r="B218" s="37">
        <f>IF(210&lt;=KALKULATOR!$C$10,210,"")</f>
        <v/>
      </c>
      <c r="C218" s="38">
        <f>IF(210&lt;=KALKULATOR!$C$10,G217,"")</f>
        <v/>
      </c>
      <c r="D218" s="38">
        <f>IF(210&lt;=KALKULATOR!$C$10,KALKULATOR!$C$21,"")</f>
        <v/>
      </c>
      <c r="E218" s="38">
        <f>IF(210&lt;=KALKULATOR!$C$10,-C218*KALKULATOR!$C$9,"")</f>
        <v/>
      </c>
      <c r="F218" s="38">
        <f>IF(210&lt;=KALKULATOR!$C$10,D218-E218,"")</f>
        <v/>
      </c>
      <c r="G218" s="38">
        <f>IF(210&lt;=KALKULATOR!$C$10,C218+F218,"")</f>
        <v/>
      </c>
    </row>
    <row r="219">
      <c r="B219" s="37">
        <f>IF(211&lt;=KALKULATOR!$C$10,211,"")</f>
        <v/>
      </c>
      <c r="C219" s="38">
        <f>IF(211&lt;=KALKULATOR!$C$10,G218,"")</f>
        <v/>
      </c>
      <c r="D219" s="38">
        <f>IF(211&lt;=KALKULATOR!$C$10,KALKULATOR!$C$21,"")</f>
        <v/>
      </c>
      <c r="E219" s="38">
        <f>IF(211&lt;=KALKULATOR!$C$10,-C219*KALKULATOR!$C$9,"")</f>
        <v/>
      </c>
      <c r="F219" s="38">
        <f>IF(211&lt;=KALKULATOR!$C$10,D219-E219,"")</f>
        <v/>
      </c>
      <c r="G219" s="38">
        <f>IF(211&lt;=KALKULATOR!$C$10,C219+F219,"")</f>
        <v/>
      </c>
    </row>
    <row r="220">
      <c r="B220" s="37">
        <f>IF(212&lt;=KALKULATOR!$C$10,212,"")</f>
        <v/>
      </c>
      <c r="C220" s="38">
        <f>IF(212&lt;=KALKULATOR!$C$10,G219,"")</f>
        <v/>
      </c>
      <c r="D220" s="38">
        <f>IF(212&lt;=KALKULATOR!$C$10,KALKULATOR!$C$21,"")</f>
        <v/>
      </c>
      <c r="E220" s="38">
        <f>IF(212&lt;=KALKULATOR!$C$10,-C220*KALKULATOR!$C$9,"")</f>
        <v/>
      </c>
      <c r="F220" s="38">
        <f>IF(212&lt;=KALKULATOR!$C$10,D220-E220,"")</f>
        <v/>
      </c>
      <c r="G220" s="38">
        <f>IF(212&lt;=KALKULATOR!$C$10,C220+F220,"")</f>
        <v/>
      </c>
    </row>
    <row r="221">
      <c r="B221" s="37">
        <f>IF(213&lt;=KALKULATOR!$C$10,213,"")</f>
        <v/>
      </c>
      <c r="C221" s="38">
        <f>IF(213&lt;=KALKULATOR!$C$10,G220,"")</f>
        <v/>
      </c>
      <c r="D221" s="38">
        <f>IF(213&lt;=KALKULATOR!$C$10,KALKULATOR!$C$21,"")</f>
        <v/>
      </c>
      <c r="E221" s="38">
        <f>IF(213&lt;=KALKULATOR!$C$10,-C221*KALKULATOR!$C$9,"")</f>
        <v/>
      </c>
      <c r="F221" s="38">
        <f>IF(213&lt;=KALKULATOR!$C$10,D221-E221,"")</f>
        <v/>
      </c>
      <c r="G221" s="38">
        <f>IF(213&lt;=KALKULATOR!$C$10,C221+F221,"")</f>
        <v/>
      </c>
    </row>
    <row r="222">
      <c r="B222" s="37">
        <f>IF(214&lt;=KALKULATOR!$C$10,214,"")</f>
        <v/>
      </c>
      <c r="C222" s="38">
        <f>IF(214&lt;=KALKULATOR!$C$10,G221,"")</f>
        <v/>
      </c>
      <c r="D222" s="38">
        <f>IF(214&lt;=KALKULATOR!$C$10,KALKULATOR!$C$21,"")</f>
        <v/>
      </c>
      <c r="E222" s="38">
        <f>IF(214&lt;=KALKULATOR!$C$10,-C222*KALKULATOR!$C$9,"")</f>
        <v/>
      </c>
      <c r="F222" s="38">
        <f>IF(214&lt;=KALKULATOR!$C$10,D222-E222,"")</f>
        <v/>
      </c>
      <c r="G222" s="38">
        <f>IF(214&lt;=KALKULATOR!$C$10,C222+F222,"")</f>
        <v/>
      </c>
    </row>
    <row r="223">
      <c r="B223" s="37">
        <f>IF(215&lt;=KALKULATOR!$C$10,215,"")</f>
        <v/>
      </c>
      <c r="C223" s="38">
        <f>IF(215&lt;=KALKULATOR!$C$10,G222,"")</f>
        <v/>
      </c>
      <c r="D223" s="38">
        <f>IF(215&lt;=KALKULATOR!$C$10,KALKULATOR!$C$21,"")</f>
        <v/>
      </c>
      <c r="E223" s="38">
        <f>IF(215&lt;=KALKULATOR!$C$10,-C223*KALKULATOR!$C$9,"")</f>
        <v/>
      </c>
      <c r="F223" s="38">
        <f>IF(215&lt;=KALKULATOR!$C$10,D223-E223,"")</f>
        <v/>
      </c>
      <c r="G223" s="38">
        <f>IF(215&lt;=KALKULATOR!$C$10,C223+F223,"")</f>
        <v/>
      </c>
    </row>
    <row r="224">
      <c r="B224" s="37">
        <f>IF(216&lt;=KALKULATOR!$C$10,216,"")</f>
        <v/>
      </c>
      <c r="C224" s="38">
        <f>IF(216&lt;=KALKULATOR!$C$10,G223,"")</f>
        <v/>
      </c>
      <c r="D224" s="38">
        <f>IF(216&lt;=KALKULATOR!$C$10,KALKULATOR!$C$21,"")</f>
        <v/>
      </c>
      <c r="E224" s="38">
        <f>IF(216&lt;=KALKULATOR!$C$10,-C224*KALKULATOR!$C$9,"")</f>
        <v/>
      </c>
      <c r="F224" s="38">
        <f>IF(216&lt;=KALKULATOR!$C$10,D224-E224,"")</f>
        <v/>
      </c>
      <c r="G224" s="38">
        <f>IF(216&lt;=KALKULATOR!$C$10,C224+F224,"")</f>
        <v/>
      </c>
    </row>
    <row r="225">
      <c r="B225" s="37">
        <f>IF(217&lt;=KALKULATOR!$C$10,217,"")</f>
        <v/>
      </c>
      <c r="C225" s="38">
        <f>IF(217&lt;=KALKULATOR!$C$10,G224,"")</f>
        <v/>
      </c>
      <c r="D225" s="38">
        <f>IF(217&lt;=KALKULATOR!$C$10,KALKULATOR!$C$21,"")</f>
        <v/>
      </c>
      <c r="E225" s="38">
        <f>IF(217&lt;=KALKULATOR!$C$10,-C225*KALKULATOR!$C$9,"")</f>
        <v/>
      </c>
      <c r="F225" s="38">
        <f>IF(217&lt;=KALKULATOR!$C$10,D225-E225,"")</f>
        <v/>
      </c>
      <c r="G225" s="38">
        <f>IF(217&lt;=KALKULATOR!$C$10,C225+F225,"")</f>
        <v/>
      </c>
    </row>
    <row r="226">
      <c r="B226" s="37">
        <f>IF(218&lt;=KALKULATOR!$C$10,218,"")</f>
        <v/>
      </c>
      <c r="C226" s="38">
        <f>IF(218&lt;=KALKULATOR!$C$10,G225,"")</f>
        <v/>
      </c>
      <c r="D226" s="38">
        <f>IF(218&lt;=KALKULATOR!$C$10,KALKULATOR!$C$21,"")</f>
        <v/>
      </c>
      <c r="E226" s="38">
        <f>IF(218&lt;=KALKULATOR!$C$10,-C226*KALKULATOR!$C$9,"")</f>
        <v/>
      </c>
      <c r="F226" s="38">
        <f>IF(218&lt;=KALKULATOR!$C$10,D226-E226,"")</f>
        <v/>
      </c>
      <c r="G226" s="38">
        <f>IF(218&lt;=KALKULATOR!$C$10,C226+F226,"")</f>
        <v/>
      </c>
    </row>
    <row r="227">
      <c r="B227" s="37">
        <f>IF(219&lt;=KALKULATOR!$C$10,219,"")</f>
        <v/>
      </c>
      <c r="C227" s="38">
        <f>IF(219&lt;=KALKULATOR!$C$10,G226,"")</f>
        <v/>
      </c>
      <c r="D227" s="38">
        <f>IF(219&lt;=KALKULATOR!$C$10,KALKULATOR!$C$21,"")</f>
        <v/>
      </c>
      <c r="E227" s="38">
        <f>IF(219&lt;=KALKULATOR!$C$10,-C227*KALKULATOR!$C$9,"")</f>
        <v/>
      </c>
      <c r="F227" s="38">
        <f>IF(219&lt;=KALKULATOR!$C$10,D227-E227,"")</f>
        <v/>
      </c>
      <c r="G227" s="38">
        <f>IF(219&lt;=KALKULATOR!$C$10,C227+F227,"")</f>
        <v/>
      </c>
    </row>
    <row r="228">
      <c r="B228" s="37">
        <f>IF(220&lt;=KALKULATOR!$C$10,220,"")</f>
        <v/>
      </c>
      <c r="C228" s="38">
        <f>IF(220&lt;=KALKULATOR!$C$10,G227,"")</f>
        <v/>
      </c>
      <c r="D228" s="38">
        <f>IF(220&lt;=KALKULATOR!$C$10,KALKULATOR!$C$21,"")</f>
        <v/>
      </c>
      <c r="E228" s="38">
        <f>IF(220&lt;=KALKULATOR!$C$10,-C228*KALKULATOR!$C$9,"")</f>
        <v/>
      </c>
      <c r="F228" s="38">
        <f>IF(220&lt;=KALKULATOR!$C$10,D228-E228,"")</f>
        <v/>
      </c>
      <c r="G228" s="38">
        <f>IF(220&lt;=KALKULATOR!$C$10,C228+F228,"")</f>
        <v/>
      </c>
    </row>
    <row r="229">
      <c r="B229" s="37">
        <f>IF(221&lt;=KALKULATOR!$C$10,221,"")</f>
        <v/>
      </c>
      <c r="C229" s="38">
        <f>IF(221&lt;=KALKULATOR!$C$10,G228,"")</f>
        <v/>
      </c>
      <c r="D229" s="38">
        <f>IF(221&lt;=KALKULATOR!$C$10,KALKULATOR!$C$21,"")</f>
        <v/>
      </c>
      <c r="E229" s="38">
        <f>IF(221&lt;=KALKULATOR!$C$10,-C229*KALKULATOR!$C$9,"")</f>
        <v/>
      </c>
      <c r="F229" s="38">
        <f>IF(221&lt;=KALKULATOR!$C$10,D229-E229,"")</f>
        <v/>
      </c>
      <c r="G229" s="38">
        <f>IF(221&lt;=KALKULATOR!$C$10,C229+F229,"")</f>
        <v/>
      </c>
    </row>
    <row r="230">
      <c r="B230" s="37">
        <f>IF(222&lt;=KALKULATOR!$C$10,222,"")</f>
        <v/>
      </c>
      <c r="C230" s="38">
        <f>IF(222&lt;=KALKULATOR!$C$10,G229,"")</f>
        <v/>
      </c>
      <c r="D230" s="38">
        <f>IF(222&lt;=KALKULATOR!$C$10,KALKULATOR!$C$21,"")</f>
        <v/>
      </c>
      <c r="E230" s="38">
        <f>IF(222&lt;=KALKULATOR!$C$10,-C230*KALKULATOR!$C$9,"")</f>
        <v/>
      </c>
      <c r="F230" s="38">
        <f>IF(222&lt;=KALKULATOR!$C$10,D230-E230,"")</f>
        <v/>
      </c>
      <c r="G230" s="38">
        <f>IF(222&lt;=KALKULATOR!$C$10,C230+F230,"")</f>
        <v/>
      </c>
    </row>
    <row r="231">
      <c r="B231" s="37">
        <f>IF(223&lt;=KALKULATOR!$C$10,223,"")</f>
        <v/>
      </c>
      <c r="C231" s="38">
        <f>IF(223&lt;=KALKULATOR!$C$10,G230,"")</f>
        <v/>
      </c>
      <c r="D231" s="38">
        <f>IF(223&lt;=KALKULATOR!$C$10,KALKULATOR!$C$21,"")</f>
        <v/>
      </c>
      <c r="E231" s="38">
        <f>IF(223&lt;=KALKULATOR!$C$10,-C231*KALKULATOR!$C$9,"")</f>
        <v/>
      </c>
      <c r="F231" s="38">
        <f>IF(223&lt;=KALKULATOR!$C$10,D231-E231,"")</f>
        <v/>
      </c>
      <c r="G231" s="38">
        <f>IF(223&lt;=KALKULATOR!$C$10,C231+F231,"")</f>
        <v/>
      </c>
    </row>
    <row r="232">
      <c r="B232" s="37">
        <f>IF(224&lt;=KALKULATOR!$C$10,224,"")</f>
        <v/>
      </c>
      <c r="C232" s="38">
        <f>IF(224&lt;=KALKULATOR!$C$10,G231,"")</f>
        <v/>
      </c>
      <c r="D232" s="38">
        <f>IF(224&lt;=KALKULATOR!$C$10,KALKULATOR!$C$21,"")</f>
        <v/>
      </c>
      <c r="E232" s="38">
        <f>IF(224&lt;=KALKULATOR!$C$10,-C232*KALKULATOR!$C$9,"")</f>
        <v/>
      </c>
      <c r="F232" s="38">
        <f>IF(224&lt;=KALKULATOR!$C$10,D232-E232,"")</f>
        <v/>
      </c>
      <c r="G232" s="38">
        <f>IF(224&lt;=KALKULATOR!$C$10,C232+F232,"")</f>
        <v/>
      </c>
    </row>
    <row r="233">
      <c r="B233" s="37">
        <f>IF(225&lt;=KALKULATOR!$C$10,225,"")</f>
        <v/>
      </c>
      <c r="C233" s="38">
        <f>IF(225&lt;=KALKULATOR!$C$10,G232,"")</f>
        <v/>
      </c>
      <c r="D233" s="38">
        <f>IF(225&lt;=KALKULATOR!$C$10,KALKULATOR!$C$21,"")</f>
        <v/>
      </c>
      <c r="E233" s="38">
        <f>IF(225&lt;=KALKULATOR!$C$10,-C233*KALKULATOR!$C$9,"")</f>
        <v/>
      </c>
      <c r="F233" s="38">
        <f>IF(225&lt;=KALKULATOR!$C$10,D233-E233,"")</f>
        <v/>
      </c>
      <c r="G233" s="38">
        <f>IF(225&lt;=KALKULATOR!$C$10,C233+F233,"")</f>
        <v/>
      </c>
    </row>
    <row r="234">
      <c r="B234" s="37">
        <f>IF(226&lt;=KALKULATOR!$C$10,226,"")</f>
        <v/>
      </c>
      <c r="C234" s="38">
        <f>IF(226&lt;=KALKULATOR!$C$10,G233,"")</f>
        <v/>
      </c>
      <c r="D234" s="38">
        <f>IF(226&lt;=KALKULATOR!$C$10,KALKULATOR!$C$21,"")</f>
        <v/>
      </c>
      <c r="E234" s="38">
        <f>IF(226&lt;=KALKULATOR!$C$10,-C234*KALKULATOR!$C$9,"")</f>
        <v/>
      </c>
      <c r="F234" s="38">
        <f>IF(226&lt;=KALKULATOR!$C$10,D234-E234,"")</f>
        <v/>
      </c>
      <c r="G234" s="38">
        <f>IF(226&lt;=KALKULATOR!$C$10,C234+F234,"")</f>
        <v/>
      </c>
    </row>
    <row r="235">
      <c r="B235" s="37">
        <f>IF(227&lt;=KALKULATOR!$C$10,227,"")</f>
        <v/>
      </c>
      <c r="C235" s="38">
        <f>IF(227&lt;=KALKULATOR!$C$10,G234,"")</f>
        <v/>
      </c>
      <c r="D235" s="38">
        <f>IF(227&lt;=KALKULATOR!$C$10,KALKULATOR!$C$21,"")</f>
        <v/>
      </c>
      <c r="E235" s="38">
        <f>IF(227&lt;=KALKULATOR!$C$10,-C235*KALKULATOR!$C$9,"")</f>
        <v/>
      </c>
      <c r="F235" s="38">
        <f>IF(227&lt;=KALKULATOR!$C$10,D235-E235,"")</f>
        <v/>
      </c>
      <c r="G235" s="38">
        <f>IF(227&lt;=KALKULATOR!$C$10,C235+F235,"")</f>
        <v/>
      </c>
    </row>
    <row r="236">
      <c r="B236" s="37">
        <f>IF(228&lt;=KALKULATOR!$C$10,228,"")</f>
        <v/>
      </c>
      <c r="C236" s="38">
        <f>IF(228&lt;=KALKULATOR!$C$10,G235,"")</f>
        <v/>
      </c>
      <c r="D236" s="38">
        <f>IF(228&lt;=KALKULATOR!$C$10,KALKULATOR!$C$21,"")</f>
        <v/>
      </c>
      <c r="E236" s="38">
        <f>IF(228&lt;=KALKULATOR!$C$10,-C236*KALKULATOR!$C$9,"")</f>
        <v/>
      </c>
      <c r="F236" s="38">
        <f>IF(228&lt;=KALKULATOR!$C$10,D236-E236,"")</f>
        <v/>
      </c>
      <c r="G236" s="38">
        <f>IF(228&lt;=KALKULATOR!$C$10,C236+F236,"")</f>
        <v/>
      </c>
    </row>
    <row r="237">
      <c r="B237" s="37">
        <f>IF(229&lt;=KALKULATOR!$C$10,229,"")</f>
        <v/>
      </c>
      <c r="C237" s="38">
        <f>IF(229&lt;=KALKULATOR!$C$10,G236,"")</f>
        <v/>
      </c>
      <c r="D237" s="38">
        <f>IF(229&lt;=KALKULATOR!$C$10,KALKULATOR!$C$21,"")</f>
        <v/>
      </c>
      <c r="E237" s="38">
        <f>IF(229&lt;=KALKULATOR!$C$10,-C237*KALKULATOR!$C$9,"")</f>
        <v/>
      </c>
      <c r="F237" s="38">
        <f>IF(229&lt;=KALKULATOR!$C$10,D237-E237,"")</f>
        <v/>
      </c>
      <c r="G237" s="38">
        <f>IF(229&lt;=KALKULATOR!$C$10,C237+F237,"")</f>
        <v/>
      </c>
    </row>
    <row r="238">
      <c r="B238" s="37">
        <f>IF(230&lt;=KALKULATOR!$C$10,230,"")</f>
        <v/>
      </c>
      <c r="C238" s="38">
        <f>IF(230&lt;=KALKULATOR!$C$10,G237,"")</f>
        <v/>
      </c>
      <c r="D238" s="38">
        <f>IF(230&lt;=KALKULATOR!$C$10,KALKULATOR!$C$21,"")</f>
        <v/>
      </c>
      <c r="E238" s="38">
        <f>IF(230&lt;=KALKULATOR!$C$10,-C238*KALKULATOR!$C$9,"")</f>
        <v/>
      </c>
      <c r="F238" s="38">
        <f>IF(230&lt;=KALKULATOR!$C$10,D238-E238,"")</f>
        <v/>
      </c>
      <c r="G238" s="38">
        <f>IF(230&lt;=KALKULATOR!$C$10,C238+F238,"")</f>
        <v/>
      </c>
    </row>
    <row r="239">
      <c r="B239" s="37">
        <f>IF(231&lt;=KALKULATOR!$C$10,231,"")</f>
        <v/>
      </c>
      <c r="C239" s="38">
        <f>IF(231&lt;=KALKULATOR!$C$10,G238,"")</f>
        <v/>
      </c>
      <c r="D239" s="38">
        <f>IF(231&lt;=KALKULATOR!$C$10,KALKULATOR!$C$21,"")</f>
        <v/>
      </c>
      <c r="E239" s="38">
        <f>IF(231&lt;=KALKULATOR!$C$10,-C239*KALKULATOR!$C$9,"")</f>
        <v/>
      </c>
      <c r="F239" s="38">
        <f>IF(231&lt;=KALKULATOR!$C$10,D239-E239,"")</f>
        <v/>
      </c>
      <c r="G239" s="38">
        <f>IF(231&lt;=KALKULATOR!$C$10,C239+F239,"")</f>
        <v/>
      </c>
    </row>
    <row r="240">
      <c r="B240" s="37">
        <f>IF(232&lt;=KALKULATOR!$C$10,232,"")</f>
        <v/>
      </c>
      <c r="C240" s="38">
        <f>IF(232&lt;=KALKULATOR!$C$10,G239,"")</f>
        <v/>
      </c>
      <c r="D240" s="38">
        <f>IF(232&lt;=KALKULATOR!$C$10,KALKULATOR!$C$21,"")</f>
        <v/>
      </c>
      <c r="E240" s="38">
        <f>IF(232&lt;=KALKULATOR!$C$10,-C240*KALKULATOR!$C$9,"")</f>
        <v/>
      </c>
      <c r="F240" s="38">
        <f>IF(232&lt;=KALKULATOR!$C$10,D240-E240,"")</f>
        <v/>
      </c>
      <c r="G240" s="38">
        <f>IF(232&lt;=KALKULATOR!$C$10,C240+F240,"")</f>
        <v/>
      </c>
    </row>
    <row r="241">
      <c r="B241" s="37">
        <f>IF(233&lt;=KALKULATOR!$C$10,233,"")</f>
        <v/>
      </c>
      <c r="C241" s="38">
        <f>IF(233&lt;=KALKULATOR!$C$10,G240,"")</f>
        <v/>
      </c>
      <c r="D241" s="38">
        <f>IF(233&lt;=KALKULATOR!$C$10,KALKULATOR!$C$21,"")</f>
        <v/>
      </c>
      <c r="E241" s="38">
        <f>IF(233&lt;=KALKULATOR!$C$10,-C241*KALKULATOR!$C$9,"")</f>
        <v/>
      </c>
      <c r="F241" s="38">
        <f>IF(233&lt;=KALKULATOR!$C$10,D241-E241,"")</f>
        <v/>
      </c>
      <c r="G241" s="38">
        <f>IF(233&lt;=KALKULATOR!$C$10,C241+F241,"")</f>
        <v/>
      </c>
    </row>
    <row r="242">
      <c r="B242" s="37">
        <f>IF(234&lt;=KALKULATOR!$C$10,234,"")</f>
        <v/>
      </c>
      <c r="C242" s="38">
        <f>IF(234&lt;=KALKULATOR!$C$10,G241,"")</f>
        <v/>
      </c>
      <c r="D242" s="38">
        <f>IF(234&lt;=KALKULATOR!$C$10,KALKULATOR!$C$21,"")</f>
        <v/>
      </c>
      <c r="E242" s="38">
        <f>IF(234&lt;=KALKULATOR!$C$10,-C242*KALKULATOR!$C$9,"")</f>
        <v/>
      </c>
      <c r="F242" s="38">
        <f>IF(234&lt;=KALKULATOR!$C$10,D242-E242,"")</f>
        <v/>
      </c>
      <c r="G242" s="38">
        <f>IF(234&lt;=KALKULATOR!$C$10,C242+F242,"")</f>
        <v/>
      </c>
    </row>
    <row r="243">
      <c r="B243" s="37">
        <f>IF(235&lt;=KALKULATOR!$C$10,235,"")</f>
        <v/>
      </c>
      <c r="C243" s="38">
        <f>IF(235&lt;=KALKULATOR!$C$10,G242,"")</f>
        <v/>
      </c>
      <c r="D243" s="38">
        <f>IF(235&lt;=KALKULATOR!$C$10,KALKULATOR!$C$21,"")</f>
        <v/>
      </c>
      <c r="E243" s="38">
        <f>IF(235&lt;=KALKULATOR!$C$10,-C243*KALKULATOR!$C$9,"")</f>
        <v/>
      </c>
      <c r="F243" s="38">
        <f>IF(235&lt;=KALKULATOR!$C$10,D243-E243,"")</f>
        <v/>
      </c>
      <c r="G243" s="38">
        <f>IF(235&lt;=KALKULATOR!$C$10,C243+F243,"")</f>
        <v/>
      </c>
    </row>
    <row r="244">
      <c r="B244" s="37">
        <f>IF(236&lt;=KALKULATOR!$C$10,236,"")</f>
        <v/>
      </c>
      <c r="C244" s="38">
        <f>IF(236&lt;=KALKULATOR!$C$10,G243,"")</f>
        <v/>
      </c>
      <c r="D244" s="38">
        <f>IF(236&lt;=KALKULATOR!$C$10,KALKULATOR!$C$21,"")</f>
        <v/>
      </c>
      <c r="E244" s="38">
        <f>IF(236&lt;=KALKULATOR!$C$10,-C244*KALKULATOR!$C$9,"")</f>
        <v/>
      </c>
      <c r="F244" s="38">
        <f>IF(236&lt;=KALKULATOR!$C$10,D244-E244,"")</f>
        <v/>
      </c>
      <c r="G244" s="38">
        <f>IF(236&lt;=KALKULATOR!$C$10,C244+F244,"")</f>
        <v/>
      </c>
    </row>
    <row r="245">
      <c r="B245" s="37">
        <f>IF(237&lt;=KALKULATOR!$C$10,237,"")</f>
        <v/>
      </c>
      <c r="C245" s="38">
        <f>IF(237&lt;=KALKULATOR!$C$10,G244,"")</f>
        <v/>
      </c>
      <c r="D245" s="38">
        <f>IF(237&lt;=KALKULATOR!$C$10,KALKULATOR!$C$21,"")</f>
        <v/>
      </c>
      <c r="E245" s="38">
        <f>IF(237&lt;=KALKULATOR!$C$10,-C245*KALKULATOR!$C$9,"")</f>
        <v/>
      </c>
      <c r="F245" s="38">
        <f>IF(237&lt;=KALKULATOR!$C$10,D245-E245,"")</f>
        <v/>
      </c>
      <c r="G245" s="38">
        <f>IF(237&lt;=KALKULATOR!$C$10,C245+F245,"")</f>
        <v/>
      </c>
    </row>
    <row r="246">
      <c r="B246" s="37">
        <f>IF(238&lt;=KALKULATOR!$C$10,238,"")</f>
        <v/>
      </c>
      <c r="C246" s="38">
        <f>IF(238&lt;=KALKULATOR!$C$10,G245,"")</f>
        <v/>
      </c>
      <c r="D246" s="38">
        <f>IF(238&lt;=KALKULATOR!$C$10,KALKULATOR!$C$21,"")</f>
        <v/>
      </c>
      <c r="E246" s="38">
        <f>IF(238&lt;=KALKULATOR!$C$10,-C246*KALKULATOR!$C$9,"")</f>
        <v/>
      </c>
      <c r="F246" s="38">
        <f>IF(238&lt;=KALKULATOR!$C$10,D246-E246,"")</f>
        <v/>
      </c>
      <c r="G246" s="38">
        <f>IF(238&lt;=KALKULATOR!$C$10,C246+F246,"")</f>
        <v/>
      </c>
    </row>
    <row r="247">
      <c r="B247" s="37">
        <f>IF(239&lt;=KALKULATOR!$C$10,239,"")</f>
        <v/>
      </c>
      <c r="C247" s="38">
        <f>IF(239&lt;=KALKULATOR!$C$10,G246,"")</f>
        <v/>
      </c>
      <c r="D247" s="38">
        <f>IF(239&lt;=KALKULATOR!$C$10,KALKULATOR!$C$21,"")</f>
        <v/>
      </c>
      <c r="E247" s="38">
        <f>IF(239&lt;=KALKULATOR!$C$10,-C247*KALKULATOR!$C$9,"")</f>
        <v/>
      </c>
      <c r="F247" s="38">
        <f>IF(239&lt;=KALKULATOR!$C$10,D247-E247,"")</f>
        <v/>
      </c>
      <c r="G247" s="38">
        <f>IF(239&lt;=KALKULATOR!$C$10,C247+F247,"")</f>
        <v/>
      </c>
    </row>
    <row r="248">
      <c r="B248" s="37">
        <f>IF(240&lt;=KALKULATOR!$C$10,240,"")</f>
        <v/>
      </c>
      <c r="C248" s="38">
        <f>IF(240&lt;=KALKULATOR!$C$10,G247,"")</f>
        <v/>
      </c>
      <c r="D248" s="38">
        <f>IF(240&lt;=KALKULATOR!$C$10,KALKULATOR!$C$21,"")</f>
        <v/>
      </c>
      <c r="E248" s="38">
        <f>IF(240&lt;=KALKULATOR!$C$10,-C248*KALKULATOR!$C$9,"")</f>
        <v/>
      </c>
      <c r="F248" s="38">
        <f>IF(240&lt;=KALKULATOR!$C$10,D248-E248,"")</f>
        <v/>
      </c>
      <c r="G248" s="38">
        <f>IF(240&lt;=KALKULATOR!$C$10,C248+F248,"")</f>
        <v/>
      </c>
    </row>
    <row r="249">
      <c r="B249" s="37">
        <f>IF(241&lt;=KALKULATOR!$C$10,241,"")</f>
        <v/>
      </c>
      <c r="C249" s="38">
        <f>IF(241&lt;=KALKULATOR!$C$10,G248,"")</f>
        <v/>
      </c>
      <c r="D249" s="38">
        <f>IF(241&lt;=KALKULATOR!$C$10,KALKULATOR!$C$21,"")</f>
        <v/>
      </c>
      <c r="E249" s="38">
        <f>IF(241&lt;=KALKULATOR!$C$10,-C249*KALKULATOR!$C$9,"")</f>
        <v/>
      </c>
      <c r="F249" s="38">
        <f>IF(241&lt;=KALKULATOR!$C$10,D249-E249,"")</f>
        <v/>
      </c>
      <c r="G249" s="38">
        <f>IF(241&lt;=KALKULATOR!$C$10,C249+F249,"")</f>
        <v/>
      </c>
    </row>
    <row r="250">
      <c r="B250" s="37">
        <f>IF(242&lt;=KALKULATOR!$C$10,242,"")</f>
        <v/>
      </c>
      <c r="C250" s="38">
        <f>IF(242&lt;=KALKULATOR!$C$10,G249,"")</f>
        <v/>
      </c>
      <c r="D250" s="38">
        <f>IF(242&lt;=KALKULATOR!$C$10,KALKULATOR!$C$21,"")</f>
        <v/>
      </c>
      <c r="E250" s="38">
        <f>IF(242&lt;=KALKULATOR!$C$10,-C250*KALKULATOR!$C$9,"")</f>
        <v/>
      </c>
      <c r="F250" s="38">
        <f>IF(242&lt;=KALKULATOR!$C$10,D250-E250,"")</f>
        <v/>
      </c>
      <c r="G250" s="38">
        <f>IF(242&lt;=KALKULATOR!$C$10,C250+F250,"")</f>
        <v/>
      </c>
    </row>
    <row r="251">
      <c r="B251" s="37">
        <f>IF(243&lt;=KALKULATOR!$C$10,243,"")</f>
        <v/>
      </c>
      <c r="C251" s="38">
        <f>IF(243&lt;=KALKULATOR!$C$10,G250,"")</f>
        <v/>
      </c>
      <c r="D251" s="38">
        <f>IF(243&lt;=KALKULATOR!$C$10,KALKULATOR!$C$21,"")</f>
        <v/>
      </c>
      <c r="E251" s="38">
        <f>IF(243&lt;=KALKULATOR!$C$10,-C251*KALKULATOR!$C$9,"")</f>
        <v/>
      </c>
      <c r="F251" s="38">
        <f>IF(243&lt;=KALKULATOR!$C$10,D251-E251,"")</f>
        <v/>
      </c>
      <c r="G251" s="38">
        <f>IF(243&lt;=KALKULATOR!$C$10,C251+F251,"")</f>
        <v/>
      </c>
    </row>
    <row r="252">
      <c r="B252" s="37">
        <f>IF(244&lt;=KALKULATOR!$C$10,244,"")</f>
        <v/>
      </c>
      <c r="C252" s="38">
        <f>IF(244&lt;=KALKULATOR!$C$10,G251,"")</f>
        <v/>
      </c>
      <c r="D252" s="38">
        <f>IF(244&lt;=KALKULATOR!$C$10,KALKULATOR!$C$21,"")</f>
        <v/>
      </c>
      <c r="E252" s="38">
        <f>IF(244&lt;=KALKULATOR!$C$10,-C252*KALKULATOR!$C$9,"")</f>
        <v/>
      </c>
      <c r="F252" s="38">
        <f>IF(244&lt;=KALKULATOR!$C$10,D252-E252,"")</f>
        <v/>
      </c>
      <c r="G252" s="38">
        <f>IF(244&lt;=KALKULATOR!$C$10,C252+F252,"")</f>
        <v/>
      </c>
    </row>
    <row r="253">
      <c r="B253" s="37">
        <f>IF(245&lt;=KALKULATOR!$C$10,245,"")</f>
        <v/>
      </c>
      <c r="C253" s="38">
        <f>IF(245&lt;=KALKULATOR!$C$10,G252,"")</f>
        <v/>
      </c>
      <c r="D253" s="38">
        <f>IF(245&lt;=KALKULATOR!$C$10,KALKULATOR!$C$21,"")</f>
        <v/>
      </c>
      <c r="E253" s="38">
        <f>IF(245&lt;=KALKULATOR!$C$10,-C253*KALKULATOR!$C$9,"")</f>
        <v/>
      </c>
      <c r="F253" s="38">
        <f>IF(245&lt;=KALKULATOR!$C$10,D253-E253,"")</f>
        <v/>
      </c>
      <c r="G253" s="38">
        <f>IF(245&lt;=KALKULATOR!$C$10,C253+F253,"")</f>
        <v/>
      </c>
    </row>
    <row r="254">
      <c r="B254" s="37">
        <f>IF(246&lt;=KALKULATOR!$C$10,246,"")</f>
        <v/>
      </c>
      <c r="C254" s="38">
        <f>IF(246&lt;=KALKULATOR!$C$10,G253,"")</f>
        <v/>
      </c>
      <c r="D254" s="38">
        <f>IF(246&lt;=KALKULATOR!$C$10,KALKULATOR!$C$21,"")</f>
        <v/>
      </c>
      <c r="E254" s="38">
        <f>IF(246&lt;=KALKULATOR!$C$10,-C254*KALKULATOR!$C$9,"")</f>
        <v/>
      </c>
      <c r="F254" s="38">
        <f>IF(246&lt;=KALKULATOR!$C$10,D254-E254,"")</f>
        <v/>
      </c>
      <c r="G254" s="38">
        <f>IF(246&lt;=KALKULATOR!$C$10,C254+F254,"")</f>
        <v/>
      </c>
    </row>
    <row r="255">
      <c r="B255" s="37">
        <f>IF(247&lt;=KALKULATOR!$C$10,247,"")</f>
        <v/>
      </c>
      <c r="C255" s="38">
        <f>IF(247&lt;=KALKULATOR!$C$10,G254,"")</f>
        <v/>
      </c>
      <c r="D255" s="38">
        <f>IF(247&lt;=KALKULATOR!$C$10,KALKULATOR!$C$21,"")</f>
        <v/>
      </c>
      <c r="E255" s="38">
        <f>IF(247&lt;=KALKULATOR!$C$10,-C255*KALKULATOR!$C$9,"")</f>
        <v/>
      </c>
      <c r="F255" s="38">
        <f>IF(247&lt;=KALKULATOR!$C$10,D255-E255,"")</f>
        <v/>
      </c>
      <c r="G255" s="38">
        <f>IF(247&lt;=KALKULATOR!$C$10,C255+F255,"")</f>
        <v/>
      </c>
    </row>
    <row r="256">
      <c r="B256" s="37">
        <f>IF(248&lt;=KALKULATOR!$C$10,248,"")</f>
        <v/>
      </c>
      <c r="C256" s="38">
        <f>IF(248&lt;=KALKULATOR!$C$10,G255,"")</f>
        <v/>
      </c>
      <c r="D256" s="38">
        <f>IF(248&lt;=KALKULATOR!$C$10,KALKULATOR!$C$21,"")</f>
        <v/>
      </c>
      <c r="E256" s="38">
        <f>IF(248&lt;=KALKULATOR!$C$10,-C256*KALKULATOR!$C$9,"")</f>
        <v/>
      </c>
      <c r="F256" s="38">
        <f>IF(248&lt;=KALKULATOR!$C$10,D256-E256,"")</f>
        <v/>
      </c>
      <c r="G256" s="38">
        <f>IF(248&lt;=KALKULATOR!$C$10,C256+F256,"")</f>
        <v/>
      </c>
    </row>
    <row r="257">
      <c r="B257" s="37">
        <f>IF(249&lt;=KALKULATOR!$C$10,249,"")</f>
        <v/>
      </c>
      <c r="C257" s="38">
        <f>IF(249&lt;=KALKULATOR!$C$10,G256,"")</f>
        <v/>
      </c>
      <c r="D257" s="38">
        <f>IF(249&lt;=KALKULATOR!$C$10,KALKULATOR!$C$21,"")</f>
        <v/>
      </c>
      <c r="E257" s="38">
        <f>IF(249&lt;=KALKULATOR!$C$10,-C257*KALKULATOR!$C$9,"")</f>
        <v/>
      </c>
      <c r="F257" s="38">
        <f>IF(249&lt;=KALKULATOR!$C$10,D257-E257,"")</f>
        <v/>
      </c>
      <c r="G257" s="38">
        <f>IF(249&lt;=KALKULATOR!$C$10,C257+F257,"")</f>
        <v/>
      </c>
    </row>
    <row r="258">
      <c r="B258" s="37">
        <f>IF(250&lt;=KALKULATOR!$C$10,250,"")</f>
        <v/>
      </c>
      <c r="C258" s="38">
        <f>IF(250&lt;=KALKULATOR!$C$10,G257,"")</f>
        <v/>
      </c>
      <c r="D258" s="38">
        <f>IF(250&lt;=KALKULATOR!$C$10,KALKULATOR!$C$21,"")</f>
        <v/>
      </c>
      <c r="E258" s="38">
        <f>IF(250&lt;=KALKULATOR!$C$10,-C258*KALKULATOR!$C$9,"")</f>
        <v/>
      </c>
      <c r="F258" s="38">
        <f>IF(250&lt;=KALKULATOR!$C$10,D258-E258,"")</f>
        <v/>
      </c>
      <c r="G258" s="38">
        <f>IF(250&lt;=KALKULATOR!$C$10,C258+F258,"")</f>
        <v/>
      </c>
    </row>
    <row r="259">
      <c r="B259" s="37">
        <f>IF(251&lt;=KALKULATOR!$C$10,251,"")</f>
        <v/>
      </c>
      <c r="C259" s="38">
        <f>IF(251&lt;=KALKULATOR!$C$10,G258,"")</f>
        <v/>
      </c>
      <c r="D259" s="38">
        <f>IF(251&lt;=KALKULATOR!$C$10,KALKULATOR!$C$21,"")</f>
        <v/>
      </c>
      <c r="E259" s="38">
        <f>IF(251&lt;=KALKULATOR!$C$10,-C259*KALKULATOR!$C$9,"")</f>
        <v/>
      </c>
      <c r="F259" s="38">
        <f>IF(251&lt;=KALKULATOR!$C$10,D259-E259,"")</f>
        <v/>
      </c>
      <c r="G259" s="38">
        <f>IF(251&lt;=KALKULATOR!$C$10,C259+F259,"")</f>
        <v/>
      </c>
    </row>
    <row r="260">
      <c r="B260" s="37">
        <f>IF(252&lt;=KALKULATOR!$C$10,252,"")</f>
        <v/>
      </c>
      <c r="C260" s="38">
        <f>IF(252&lt;=KALKULATOR!$C$10,G259,"")</f>
        <v/>
      </c>
      <c r="D260" s="38">
        <f>IF(252&lt;=KALKULATOR!$C$10,KALKULATOR!$C$21,"")</f>
        <v/>
      </c>
      <c r="E260" s="38">
        <f>IF(252&lt;=KALKULATOR!$C$10,-C260*KALKULATOR!$C$9,"")</f>
        <v/>
      </c>
      <c r="F260" s="38">
        <f>IF(252&lt;=KALKULATOR!$C$10,D260-E260,"")</f>
        <v/>
      </c>
      <c r="G260" s="38">
        <f>IF(252&lt;=KALKULATOR!$C$10,C260+F260,"")</f>
        <v/>
      </c>
    </row>
    <row r="261">
      <c r="B261" s="37">
        <f>IF(253&lt;=KALKULATOR!$C$10,253,"")</f>
        <v/>
      </c>
      <c r="C261" s="38">
        <f>IF(253&lt;=KALKULATOR!$C$10,G260,"")</f>
        <v/>
      </c>
      <c r="D261" s="38">
        <f>IF(253&lt;=KALKULATOR!$C$10,KALKULATOR!$C$21,"")</f>
        <v/>
      </c>
      <c r="E261" s="38">
        <f>IF(253&lt;=KALKULATOR!$C$10,-C261*KALKULATOR!$C$9,"")</f>
        <v/>
      </c>
      <c r="F261" s="38">
        <f>IF(253&lt;=KALKULATOR!$C$10,D261-E261,"")</f>
        <v/>
      </c>
      <c r="G261" s="38">
        <f>IF(253&lt;=KALKULATOR!$C$10,C261+F261,"")</f>
        <v/>
      </c>
    </row>
    <row r="262">
      <c r="B262" s="37">
        <f>IF(254&lt;=KALKULATOR!$C$10,254,"")</f>
        <v/>
      </c>
      <c r="C262" s="38">
        <f>IF(254&lt;=KALKULATOR!$C$10,G261,"")</f>
        <v/>
      </c>
      <c r="D262" s="38">
        <f>IF(254&lt;=KALKULATOR!$C$10,KALKULATOR!$C$21,"")</f>
        <v/>
      </c>
      <c r="E262" s="38">
        <f>IF(254&lt;=KALKULATOR!$C$10,-C262*KALKULATOR!$C$9,"")</f>
        <v/>
      </c>
      <c r="F262" s="38">
        <f>IF(254&lt;=KALKULATOR!$C$10,D262-E262,"")</f>
        <v/>
      </c>
      <c r="G262" s="38">
        <f>IF(254&lt;=KALKULATOR!$C$10,C262+F262,"")</f>
        <v/>
      </c>
    </row>
    <row r="263">
      <c r="B263" s="37">
        <f>IF(255&lt;=KALKULATOR!$C$10,255,"")</f>
        <v/>
      </c>
      <c r="C263" s="38">
        <f>IF(255&lt;=KALKULATOR!$C$10,G262,"")</f>
        <v/>
      </c>
      <c r="D263" s="38">
        <f>IF(255&lt;=KALKULATOR!$C$10,KALKULATOR!$C$21,"")</f>
        <v/>
      </c>
      <c r="E263" s="38">
        <f>IF(255&lt;=KALKULATOR!$C$10,-C263*KALKULATOR!$C$9,"")</f>
        <v/>
      </c>
      <c r="F263" s="38">
        <f>IF(255&lt;=KALKULATOR!$C$10,D263-E263,"")</f>
        <v/>
      </c>
      <c r="G263" s="38">
        <f>IF(255&lt;=KALKULATOR!$C$10,C263+F263,"")</f>
        <v/>
      </c>
    </row>
    <row r="264">
      <c r="B264" s="37">
        <f>IF(256&lt;=KALKULATOR!$C$10,256,"")</f>
        <v/>
      </c>
      <c r="C264" s="38">
        <f>IF(256&lt;=KALKULATOR!$C$10,G263,"")</f>
        <v/>
      </c>
      <c r="D264" s="38">
        <f>IF(256&lt;=KALKULATOR!$C$10,KALKULATOR!$C$21,"")</f>
        <v/>
      </c>
      <c r="E264" s="38">
        <f>IF(256&lt;=KALKULATOR!$C$10,-C264*KALKULATOR!$C$9,"")</f>
        <v/>
      </c>
      <c r="F264" s="38">
        <f>IF(256&lt;=KALKULATOR!$C$10,D264-E264,"")</f>
        <v/>
      </c>
      <c r="G264" s="38">
        <f>IF(256&lt;=KALKULATOR!$C$10,C264+F264,"")</f>
        <v/>
      </c>
    </row>
    <row r="265">
      <c r="B265" s="37">
        <f>IF(257&lt;=KALKULATOR!$C$10,257,"")</f>
        <v/>
      </c>
      <c r="C265" s="38">
        <f>IF(257&lt;=KALKULATOR!$C$10,G264,"")</f>
        <v/>
      </c>
      <c r="D265" s="38">
        <f>IF(257&lt;=KALKULATOR!$C$10,KALKULATOR!$C$21,"")</f>
        <v/>
      </c>
      <c r="E265" s="38">
        <f>IF(257&lt;=KALKULATOR!$C$10,-C265*KALKULATOR!$C$9,"")</f>
        <v/>
      </c>
      <c r="F265" s="38">
        <f>IF(257&lt;=KALKULATOR!$C$10,D265-E265,"")</f>
        <v/>
      </c>
      <c r="G265" s="38">
        <f>IF(257&lt;=KALKULATOR!$C$10,C265+F265,"")</f>
        <v/>
      </c>
    </row>
    <row r="266">
      <c r="B266" s="37">
        <f>IF(258&lt;=KALKULATOR!$C$10,258,"")</f>
        <v/>
      </c>
      <c r="C266" s="38">
        <f>IF(258&lt;=KALKULATOR!$C$10,G265,"")</f>
        <v/>
      </c>
      <c r="D266" s="38">
        <f>IF(258&lt;=KALKULATOR!$C$10,KALKULATOR!$C$21,"")</f>
        <v/>
      </c>
      <c r="E266" s="38">
        <f>IF(258&lt;=KALKULATOR!$C$10,-C266*KALKULATOR!$C$9,"")</f>
        <v/>
      </c>
      <c r="F266" s="38">
        <f>IF(258&lt;=KALKULATOR!$C$10,D266-E266,"")</f>
        <v/>
      </c>
      <c r="G266" s="38">
        <f>IF(258&lt;=KALKULATOR!$C$10,C266+F266,"")</f>
        <v/>
      </c>
    </row>
    <row r="267">
      <c r="B267" s="37">
        <f>IF(259&lt;=KALKULATOR!$C$10,259,"")</f>
        <v/>
      </c>
      <c r="C267" s="38">
        <f>IF(259&lt;=KALKULATOR!$C$10,G266,"")</f>
        <v/>
      </c>
      <c r="D267" s="38">
        <f>IF(259&lt;=KALKULATOR!$C$10,KALKULATOR!$C$21,"")</f>
        <v/>
      </c>
      <c r="E267" s="38">
        <f>IF(259&lt;=KALKULATOR!$C$10,-C267*KALKULATOR!$C$9,"")</f>
        <v/>
      </c>
      <c r="F267" s="38">
        <f>IF(259&lt;=KALKULATOR!$C$10,D267-E267,"")</f>
        <v/>
      </c>
      <c r="G267" s="38">
        <f>IF(259&lt;=KALKULATOR!$C$10,C267+F267,"")</f>
        <v/>
      </c>
    </row>
    <row r="268">
      <c r="B268" s="37">
        <f>IF(260&lt;=KALKULATOR!$C$10,260,"")</f>
        <v/>
      </c>
      <c r="C268" s="38">
        <f>IF(260&lt;=KALKULATOR!$C$10,G267,"")</f>
        <v/>
      </c>
      <c r="D268" s="38">
        <f>IF(260&lt;=KALKULATOR!$C$10,KALKULATOR!$C$21,"")</f>
        <v/>
      </c>
      <c r="E268" s="38">
        <f>IF(260&lt;=KALKULATOR!$C$10,-C268*KALKULATOR!$C$9,"")</f>
        <v/>
      </c>
      <c r="F268" s="38">
        <f>IF(260&lt;=KALKULATOR!$C$10,D268-E268,"")</f>
        <v/>
      </c>
      <c r="G268" s="38">
        <f>IF(260&lt;=KALKULATOR!$C$10,C268+F268,"")</f>
        <v/>
      </c>
    </row>
    <row r="269">
      <c r="B269" s="37">
        <f>IF(261&lt;=KALKULATOR!$C$10,261,"")</f>
        <v/>
      </c>
      <c r="C269" s="38">
        <f>IF(261&lt;=KALKULATOR!$C$10,G268,"")</f>
        <v/>
      </c>
      <c r="D269" s="38">
        <f>IF(261&lt;=KALKULATOR!$C$10,KALKULATOR!$C$21,"")</f>
        <v/>
      </c>
      <c r="E269" s="38">
        <f>IF(261&lt;=KALKULATOR!$C$10,-C269*KALKULATOR!$C$9,"")</f>
        <v/>
      </c>
      <c r="F269" s="38">
        <f>IF(261&lt;=KALKULATOR!$C$10,D269-E269,"")</f>
        <v/>
      </c>
      <c r="G269" s="38">
        <f>IF(261&lt;=KALKULATOR!$C$10,C269+F269,"")</f>
        <v/>
      </c>
    </row>
    <row r="270">
      <c r="B270" s="37">
        <f>IF(262&lt;=KALKULATOR!$C$10,262,"")</f>
        <v/>
      </c>
      <c r="C270" s="38">
        <f>IF(262&lt;=KALKULATOR!$C$10,G269,"")</f>
        <v/>
      </c>
      <c r="D270" s="38">
        <f>IF(262&lt;=KALKULATOR!$C$10,KALKULATOR!$C$21,"")</f>
        <v/>
      </c>
      <c r="E270" s="38">
        <f>IF(262&lt;=KALKULATOR!$C$10,-C270*KALKULATOR!$C$9,"")</f>
        <v/>
      </c>
      <c r="F270" s="38">
        <f>IF(262&lt;=KALKULATOR!$C$10,D270-E270,"")</f>
        <v/>
      </c>
      <c r="G270" s="38">
        <f>IF(262&lt;=KALKULATOR!$C$10,C270+F270,"")</f>
        <v/>
      </c>
    </row>
    <row r="271">
      <c r="B271" s="37">
        <f>IF(263&lt;=KALKULATOR!$C$10,263,"")</f>
        <v/>
      </c>
      <c r="C271" s="38">
        <f>IF(263&lt;=KALKULATOR!$C$10,G270,"")</f>
        <v/>
      </c>
      <c r="D271" s="38">
        <f>IF(263&lt;=KALKULATOR!$C$10,KALKULATOR!$C$21,"")</f>
        <v/>
      </c>
      <c r="E271" s="38">
        <f>IF(263&lt;=KALKULATOR!$C$10,-C271*KALKULATOR!$C$9,"")</f>
        <v/>
      </c>
      <c r="F271" s="38">
        <f>IF(263&lt;=KALKULATOR!$C$10,D271-E271,"")</f>
        <v/>
      </c>
      <c r="G271" s="38">
        <f>IF(263&lt;=KALKULATOR!$C$10,C271+F271,"")</f>
        <v/>
      </c>
    </row>
    <row r="272">
      <c r="B272" s="37">
        <f>IF(264&lt;=KALKULATOR!$C$10,264,"")</f>
        <v/>
      </c>
      <c r="C272" s="38">
        <f>IF(264&lt;=KALKULATOR!$C$10,G271,"")</f>
        <v/>
      </c>
      <c r="D272" s="38">
        <f>IF(264&lt;=KALKULATOR!$C$10,KALKULATOR!$C$21,"")</f>
        <v/>
      </c>
      <c r="E272" s="38">
        <f>IF(264&lt;=KALKULATOR!$C$10,-C272*KALKULATOR!$C$9,"")</f>
        <v/>
      </c>
      <c r="F272" s="38">
        <f>IF(264&lt;=KALKULATOR!$C$10,D272-E272,"")</f>
        <v/>
      </c>
      <c r="G272" s="38">
        <f>IF(264&lt;=KALKULATOR!$C$10,C272+F272,"")</f>
        <v/>
      </c>
    </row>
    <row r="273">
      <c r="B273" s="37">
        <f>IF(265&lt;=KALKULATOR!$C$10,265,"")</f>
        <v/>
      </c>
      <c r="C273" s="38">
        <f>IF(265&lt;=KALKULATOR!$C$10,G272,"")</f>
        <v/>
      </c>
      <c r="D273" s="38">
        <f>IF(265&lt;=KALKULATOR!$C$10,KALKULATOR!$C$21,"")</f>
        <v/>
      </c>
      <c r="E273" s="38">
        <f>IF(265&lt;=KALKULATOR!$C$10,-C273*KALKULATOR!$C$9,"")</f>
        <v/>
      </c>
      <c r="F273" s="38">
        <f>IF(265&lt;=KALKULATOR!$C$10,D273-E273,"")</f>
        <v/>
      </c>
      <c r="G273" s="38">
        <f>IF(265&lt;=KALKULATOR!$C$10,C273+F273,"")</f>
        <v/>
      </c>
    </row>
    <row r="274">
      <c r="B274" s="37">
        <f>IF(266&lt;=KALKULATOR!$C$10,266,"")</f>
        <v/>
      </c>
      <c r="C274" s="38">
        <f>IF(266&lt;=KALKULATOR!$C$10,G273,"")</f>
        <v/>
      </c>
      <c r="D274" s="38">
        <f>IF(266&lt;=KALKULATOR!$C$10,KALKULATOR!$C$21,"")</f>
        <v/>
      </c>
      <c r="E274" s="38">
        <f>IF(266&lt;=KALKULATOR!$C$10,-C274*KALKULATOR!$C$9,"")</f>
        <v/>
      </c>
      <c r="F274" s="38">
        <f>IF(266&lt;=KALKULATOR!$C$10,D274-E274,"")</f>
        <v/>
      </c>
      <c r="G274" s="38">
        <f>IF(266&lt;=KALKULATOR!$C$10,C274+F274,"")</f>
        <v/>
      </c>
    </row>
    <row r="275">
      <c r="B275" s="37">
        <f>IF(267&lt;=KALKULATOR!$C$10,267,"")</f>
        <v/>
      </c>
      <c r="C275" s="38">
        <f>IF(267&lt;=KALKULATOR!$C$10,G274,"")</f>
        <v/>
      </c>
      <c r="D275" s="38">
        <f>IF(267&lt;=KALKULATOR!$C$10,KALKULATOR!$C$21,"")</f>
        <v/>
      </c>
      <c r="E275" s="38">
        <f>IF(267&lt;=KALKULATOR!$C$10,-C275*KALKULATOR!$C$9,"")</f>
        <v/>
      </c>
      <c r="F275" s="38">
        <f>IF(267&lt;=KALKULATOR!$C$10,D275-E275,"")</f>
        <v/>
      </c>
      <c r="G275" s="38">
        <f>IF(267&lt;=KALKULATOR!$C$10,C275+F275,"")</f>
        <v/>
      </c>
    </row>
    <row r="276">
      <c r="B276" s="37">
        <f>IF(268&lt;=KALKULATOR!$C$10,268,"")</f>
        <v/>
      </c>
      <c r="C276" s="38">
        <f>IF(268&lt;=KALKULATOR!$C$10,G275,"")</f>
        <v/>
      </c>
      <c r="D276" s="38">
        <f>IF(268&lt;=KALKULATOR!$C$10,KALKULATOR!$C$21,"")</f>
        <v/>
      </c>
      <c r="E276" s="38">
        <f>IF(268&lt;=KALKULATOR!$C$10,-C276*KALKULATOR!$C$9,"")</f>
        <v/>
      </c>
      <c r="F276" s="38">
        <f>IF(268&lt;=KALKULATOR!$C$10,D276-E276,"")</f>
        <v/>
      </c>
      <c r="G276" s="38">
        <f>IF(268&lt;=KALKULATOR!$C$10,C276+F276,"")</f>
        <v/>
      </c>
    </row>
    <row r="277">
      <c r="B277" s="37">
        <f>IF(269&lt;=KALKULATOR!$C$10,269,"")</f>
        <v/>
      </c>
      <c r="C277" s="38">
        <f>IF(269&lt;=KALKULATOR!$C$10,G276,"")</f>
        <v/>
      </c>
      <c r="D277" s="38">
        <f>IF(269&lt;=KALKULATOR!$C$10,KALKULATOR!$C$21,"")</f>
        <v/>
      </c>
      <c r="E277" s="38">
        <f>IF(269&lt;=KALKULATOR!$C$10,-C277*KALKULATOR!$C$9,"")</f>
        <v/>
      </c>
      <c r="F277" s="38">
        <f>IF(269&lt;=KALKULATOR!$C$10,D277-E277,"")</f>
        <v/>
      </c>
      <c r="G277" s="38">
        <f>IF(269&lt;=KALKULATOR!$C$10,C277+F277,"")</f>
        <v/>
      </c>
    </row>
    <row r="278">
      <c r="B278" s="37">
        <f>IF(270&lt;=KALKULATOR!$C$10,270,"")</f>
        <v/>
      </c>
      <c r="C278" s="38">
        <f>IF(270&lt;=KALKULATOR!$C$10,G277,"")</f>
        <v/>
      </c>
      <c r="D278" s="38">
        <f>IF(270&lt;=KALKULATOR!$C$10,KALKULATOR!$C$21,"")</f>
        <v/>
      </c>
      <c r="E278" s="38">
        <f>IF(270&lt;=KALKULATOR!$C$10,-C278*KALKULATOR!$C$9,"")</f>
        <v/>
      </c>
      <c r="F278" s="38">
        <f>IF(270&lt;=KALKULATOR!$C$10,D278-E278,"")</f>
        <v/>
      </c>
      <c r="G278" s="38">
        <f>IF(270&lt;=KALKULATOR!$C$10,C278+F278,"")</f>
        <v/>
      </c>
    </row>
    <row r="279">
      <c r="B279" s="37">
        <f>IF(271&lt;=KALKULATOR!$C$10,271,"")</f>
        <v/>
      </c>
      <c r="C279" s="38">
        <f>IF(271&lt;=KALKULATOR!$C$10,G278,"")</f>
        <v/>
      </c>
      <c r="D279" s="38">
        <f>IF(271&lt;=KALKULATOR!$C$10,KALKULATOR!$C$21,"")</f>
        <v/>
      </c>
      <c r="E279" s="38">
        <f>IF(271&lt;=KALKULATOR!$C$10,-C279*KALKULATOR!$C$9,"")</f>
        <v/>
      </c>
      <c r="F279" s="38">
        <f>IF(271&lt;=KALKULATOR!$C$10,D279-E279,"")</f>
        <v/>
      </c>
      <c r="G279" s="38">
        <f>IF(271&lt;=KALKULATOR!$C$10,C279+F279,"")</f>
        <v/>
      </c>
    </row>
    <row r="280">
      <c r="B280" s="37">
        <f>IF(272&lt;=KALKULATOR!$C$10,272,"")</f>
        <v/>
      </c>
      <c r="C280" s="38">
        <f>IF(272&lt;=KALKULATOR!$C$10,G279,"")</f>
        <v/>
      </c>
      <c r="D280" s="38">
        <f>IF(272&lt;=KALKULATOR!$C$10,KALKULATOR!$C$21,"")</f>
        <v/>
      </c>
      <c r="E280" s="38">
        <f>IF(272&lt;=KALKULATOR!$C$10,-C280*KALKULATOR!$C$9,"")</f>
        <v/>
      </c>
      <c r="F280" s="38">
        <f>IF(272&lt;=KALKULATOR!$C$10,D280-E280,"")</f>
        <v/>
      </c>
      <c r="G280" s="38">
        <f>IF(272&lt;=KALKULATOR!$C$10,C280+F280,"")</f>
        <v/>
      </c>
    </row>
    <row r="281">
      <c r="B281" s="37">
        <f>IF(273&lt;=KALKULATOR!$C$10,273,"")</f>
        <v/>
      </c>
      <c r="C281" s="38">
        <f>IF(273&lt;=KALKULATOR!$C$10,G280,"")</f>
        <v/>
      </c>
      <c r="D281" s="38">
        <f>IF(273&lt;=KALKULATOR!$C$10,KALKULATOR!$C$21,"")</f>
        <v/>
      </c>
      <c r="E281" s="38">
        <f>IF(273&lt;=KALKULATOR!$C$10,-C281*KALKULATOR!$C$9,"")</f>
        <v/>
      </c>
      <c r="F281" s="38">
        <f>IF(273&lt;=KALKULATOR!$C$10,D281-E281,"")</f>
        <v/>
      </c>
      <c r="G281" s="38">
        <f>IF(273&lt;=KALKULATOR!$C$10,C281+F281,"")</f>
        <v/>
      </c>
    </row>
    <row r="282">
      <c r="B282" s="37">
        <f>IF(274&lt;=KALKULATOR!$C$10,274,"")</f>
        <v/>
      </c>
      <c r="C282" s="38">
        <f>IF(274&lt;=KALKULATOR!$C$10,G281,"")</f>
        <v/>
      </c>
      <c r="D282" s="38">
        <f>IF(274&lt;=KALKULATOR!$C$10,KALKULATOR!$C$21,"")</f>
        <v/>
      </c>
      <c r="E282" s="38">
        <f>IF(274&lt;=KALKULATOR!$C$10,-C282*KALKULATOR!$C$9,"")</f>
        <v/>
      </c>
      <c r="F282" s="38">
        <f>IF(274&lt;=KALKULATOR!$C$10,D282-E282,"")</f>
        <v/>
      </c>
      <c r="G282" s="38">
        <f>IF(274&lt;=KALKULATOR!$C$10,C282+F282,"")</f>
        <v/>
      </c>
    </row>
    <row r="283">
      <c r="B283" s="37">
        <f>IF(275&lt;=KALKULATOR!$C$10,275,"")</f>
        <v/>
      </c>
      <c r="C283" s="38">
        <f>IF(275&lt;=KALKULATOR!$C$10,G282,"")</f>
        <v/>
      </c>
      <c r="D283" s="38">
        <f>IF(275&lt;=KALKULATOR!$C$10,KALKULATOR!$C$21,"")</f>
        <v/>
      </c>
      <c r="E283" s="38">
        <f>IF(275&lt;=KALKULATOR!$C$10,-C283*KALKULATOR!$C$9,"")</f>
        <v/>
      </c>
      <c r="F283" s="38">
        <f>IF(275&lt;=KALKULATOR!$C$10,D283-E283,"")</f>
        <v/>
      </c>
      <c r="G283" s="38">
        <f>IF(275&lt;=KALKULATOR!$C$10,C283+F283,"")</f>
        <v/>
      </c>
    </row>
    <row r="284">
      <c r="B284" s="37">
        <f>IF(276&lt;=KALKULATOR!$C$10,276,"")</f>
        <v/>
      </c>
      <c r="C284" s="38">
        <f>IF(276&lt;=KALKULATOR!$C$10,G283,"")</f>
        <v/>
      </c>
      <c r="D284" s="38">
        <f>IF(276&lt;=KALKULATOR!$C$10,KALKULATOR!$C$21,"")</f>
        <v/>
      </c>
      <c r="E284" s="38">
        <f>IF(276&lt;=KALKULATOR!$C$10,-C284*KALKULATOR!$C$9,"")</f>
        <v/>
      </c>
      <c r="F284" s="38">
        <f>IF(276&lt;=KALKULATOR!$C$10,D284-E284,"")</f>
        <v/>
      </c>
      <c r="G284" s="38">
        <f>IF(276&lt;=KALKULATOR!$C$10,C284+F284,"")</f>
        <v/>
      </c>
    </row>
    <row r="285">
      <c r="B285" s="37">
        <f>IF(277&lt;=KALKULATOR!$C$10,277,"")</f>
        <v/>
      </c>
      <c r="C285" s="38">
        <f>IF(277&lt;=KALKULATOR!$C$10,G284,"")</f>
        <v/>
      </c>
      <c r="D285" s="38">
        <f>IF(277&lt;=KALKULATOR!$C$10,KALKULATOR!$C$21,"")</f>
        <v/>
      </c>
      <c r="E285" s="38">
        <f>IF(277&lt;=KALKULATOR!$C$10,-C285*KALKULATOR!$C$9,"")</f>
        <v/>
      </c>
      <c r="F285" s="38">
        <f>IF(277&lt;=KALKULATOR!$C$10,D285-E285,"")</f>
        <v/>
      </c>
      <c r="G285" s="38">
        <f>IF(277&lt;=KALKULATOR!$C$10,C285+F285,"")</f>
        <v/>
      </c>
    </row>
    <row r="286">
      <c r="B286" s="37">
        <f>IF(278&lt;=KALKULATOR!$C$10,278,"")</f>
        <v/>
      </c>
      <c r="C286" s="38">
        <f>IF(278&lt;=KALKULATOR!$C$10,G285,"")</f>
        <v/>
      </c>
      <c r="D286" s="38">
        <f>IF(278&lt;=KALKULATOR!$C$10,KALKULATOR!$C$21,"")</f>
        <v/>
      </c>
      <c r="E286" s="38">
        <f>IF(278&lt;=KALKULATOR!$C$10,-C286*KALKULATOR!$C$9,"")</f>
        <v/>
      </c>
      <c r="F286" s="38">
        <f>IF(278&lt;=KALKULATOR!$C$10,D286-E286,"")</f>
        <v/>
      </c>
      <c r="G286" s="38">
        <f>IF(278&lt;=KALKULATOR!$C$10,C286+F286,"")</f>
        <v/>
      </c>
    </row>
    <row r="287">
      <c r="B287" s="37">
        <f>IF(279&lt;=KALKULATOR!$C$10,279,"")</f>
        <v/>
      </c>
      <c r="C287" s="38">
        <f>IF(279&lt;=KALKULATOR!$C$10,G286,"")</f>
        <v/>
      </c>
      <c r="D287" s="38">
        <f>IF(279&lt;=KALKULATOR!$C$10,KALKULATOR!$C$21,"")</f>
        <v/>
      </c>
      <c r="E287" s="38">
        <f>IF(279&lt;=KALKULATOR!$C$10,-C287*KALKULATOR!$C$9,"")</f>
        <v/>
      </c>
      <c r="F287" s="38">
        <f>IF(279&lt;=KALKULATOR!$C$10,D287-E287,"")</f>
        <v/>
      </c>
      <c r="G287" s="38">
        <f>IF(279&lt;=KALKULATOR!$C$10,C287+F287,"")</f>
        <v/>
      </c>
    </row>
    <row r="288">
      <c r="B288" s="37">
        <f>IF(280&lt;=KALKULATOR!$C$10,280,"")</f>
        <v/>
      </c>
      <c r="C288" s="38">
        <f>IF(280&lt;=KALKULATOR!$C$10,G287,"")</f>
        <v/>
      </c>
      <c r="D288" s="38">
        <f>IF(280&lt;=KALKULATOR!$C$10,KALKULATOR!$C$21,"")</f>
        <v/>
      </c>
      <c r="E288" s="38">
        <f>IF(280&lt;=KALKULATOR!$C$10,-C288*KALKULATOR!$C$9,"")</f>
        <v/>
      </c>
      <c r="F288" s="38">
        <f>IF(280&lt;=KALKULATOR!$C$10,D288-E288,"")</f>
        <v/>
      </c>
      <c r="G288" s="38">
        <f>IF(280&lt;=KALKULATOR!$C$10,C288+F288,"")</f>
        <v/>
      </c>
    </row>
    <row r="289">
      <c r="B289" s="37">
        <f>IF(281&lt;=KALKULATOR!$C$10,281,"")</f>
        <v/>
      </c>
      <c r="C289" s="38">
        <f>IF(281&lt;=KALKULATOR!$C$10,G288,"")</f>
        <v/>
      </c>
      <c r="D289" s="38">
        <f>IF(281&lt;=KALKULATOR!$C$10,KALKULATOR!$C$21,"")</f>
        <v/>
      </c>
      <c r="E289" s="38">
        <f>IF(281&lt;=KALKULATOR!$C$10,-C289*KALKULATOR!$C$9,"")</f>
        <v/>
      </c>
      <c r="F289" s="38">
        <f>IF(281&lt;=KALKULATOR!$C$10,D289-E289,"")</f>
        <v/>
      </c>
      <c r="G289" s="38">
        <f>IF(281&lt;=KALKULATOR!$C$10,C289+F289,"")</f>
        <v/>
      </c>
    </row>
    <row r="290">
      <c r="B290" s="37">
        <f>IF(282&lt;=KALKULATOR!$C$10,282,"")</f>
        <v/>
      </c>
      <c r="C290" s="38">
        <f>IF(282&lt;=KALKULATOR!$C$10,G289,"")</f>
        <v/>
      </c>
      <c r="D290" s="38">
        <f>IF(282&lt;=KALKULATOR!$C$10,KALKULATOR!$C$21,"")</f>
        <v/>
      </c>
      <c r="E290" s="38">
        <f>IF(282&lt;=KALKULATOR!$C$10,-C290*KALKULATOR!$C$9,"")</f>
        <v/>
      </c>
      <c r="F290" s="38">
        <f>IF(282&lt;=KALKULATOR!$C$10,D290-E290,"")</f>
        <v/>
      </c>
      <c r="G290" s="38">
        <f>IF(282&lt;=KALKULATOR!$C$10,C290+F290,"")</f>
        <v/>
      </c>
    </row>
    <row r="291">
      <c r="B291" s="37">
        <f>IF(283&lt;=KALKULATOR!$C$10,283,"")</f>
        <v/>
      </c>
      <c r="C291" s="38">
        <f>IF(283&lt;=KALKULATOR!$C$10,G290,"")</f>
        <v/>
      </c>
      <c r="D291" s="38">
        <f>IF(283&lt;=KALKULATOR!$C$10,KALKULATOR!$C$21,"")</f>
        <v/>
      </c>
      <c r="E291" s="38">
        <f>IF(283&lt;=KALKULATOR!$C$10,-C291*KALKULATOR!$C$9,"")</f>
        <v/>
      </c>
      <c r="F291" s="38">
        <f>IF(283&lt;=KALKULATOR!$C$10,D291-E291,"")</f>
        <v/>
      </c>
      <c r="G291" s="38">
        <f>IF(283&lt;=KALKULATOR!$C$10,C291+F291,"")</f>
        <v/>
      </c>
    </row>
    <row r="292">
      <c r="B292" s="37">
        <f>IF(284&lt;=KALKULATOR!$C$10,284,"")</f>
        <v/>
      </c>
      <c r="C292" s="38">
        <f>IF(284&lt;=KALKULATOR!$C$10,G291,"")</f>
        <v/>
      </c>
      <c r="D292" s="38">
        <f>IF(284&lt;=KALKULATOR!$C$10,KALKULATOR!$C$21,"")</f>
        <v/>
      </c>
      <c r="E292" s="38">
        <f>IF(284&lt;=KALKULATOR!$C$10,-C292*KALKULATOR!$C$9,"")</f>
        <v/>
      </c>
      <c r="F292" s="38">
        <f>IF(284&lt;=KALKULATOR!$C$10,D292-E292,"")</f>
        <v/>
      </c>
      <c r="G292" s="38">
        <f>IF(284&lt;=KALKULATOR!$C$10,C292+F292,"")</f>
        <v/>
      </c>
    </row>
    <row r="293">
      <c r="B293" s="37">
        <f>IF(285&lt;=KALKULATOR!$C$10,285,"")</f>
        <v/>
      </c>
      <c r="C293" s="38">
        <f>IF(285&lt;=KALKULATOR!$C$10,G292,"")</f>
        <v/>
      </c>
      <c r="D293" s="38">
        <f>IF(285&lt;=KALKULATOR!$C$10,KALKULATOR!$C$21,"")</f>
        <v/>
      </c>
      <c r="E293" s="38">
        <f>IF(285&lt;=KALKULATOR!$C$10,-C293*KALKULATOR!$C$9,"")</f>
        <v/>
      </c>
      <c r="F293" s="38">
        <f>IF(285&lt;=KALKULATOR!$C$10,D293-E293,"")</f>
        <v/>
      </c>
      <c r="G293" s="38">
        <f>IF(285&lt;=KALKULATOR!$C$10,C293+F293,"")</f>
        <v/>
      </c>
    </row>
    <row r="294">
      <c r="B294" s="37">
        <f>IF(286&lt;=KALKULATOR!$C$10,286,"")</f>
        <v/>
      </c>
      <c r="C294" s="38">
        <f>IF(286&lt;=KALKULATOR!$C$10,G293,"")</f>
        <v/>
      </c>
      <c r="D294" s="38">
        <f>IF(286&lt;=KALKULATOR!$C$10,KALKULATOR!$C$21,"")</f>
        <v/>
      </c>
      <c r="E294" s="38">
        <f>IF(286&lt;=KALKULATOR!$C$10,-C294*KALKULATOR!$C$9,"")</f>
        <v/>
      </c>
      <c r="F294" s="38">
        <f>IF(286&lt;=KALKULATOR!$C$10,D294-E294,"")</f>
        <v/>
      </c>
      <c r="G294" s="38">
        <f>IF(286&lt;=KALKULATOR!$C$10,C294+F294,"")</f>
        <v/>
      </c>
    </row>
    <row r="295">
      <c r="B295" s="37">
        <f>IF(287&lt;=KALKULATOR!$C$10,287,"")</f>
        <v/>
      </c>
      <c r="C295" s="38">
        <f>IF(287&lt;=KALKULATOR!$C$10,G294,"")</f>
        <v/>
      </c>
      <c r="D295" s="38">
        <f>IF(287&lt;=KALKULATOR!$C$10,KALKULATOR!$C$21,"")</f>
        <v/>
      </c>
      <c r="E295" s="38">
        <f>IF(287&lt;=KALKULATOR!$C$10,-C295*KALKULATOR!$C$9,"")</f>
        <v/>
      </c>
      <c r="F295" s="38">
        <f>IF(287&lt;=KALKULATOR!$C$10,D295-E295,"")</f>
        <v/>
      </c>
      <c r="G295" s="38">
        <f>IF(287&lt;=KALKULATOR!$C$10,C295+F295,"")</f>
        <v/>
      </c>
    </row>
    <row r="296">
      <c r="B296" s="37">
        <f>IF(288&lt;=KALKULATOR!$C$10,288,"")</f>
        <v/>
      </c>
      <c r="C296" s="38">
        <f>IF(288&lt;=KALKULATOR!$C$10,G295,"")</f>
        <v/>
      </c>
      <c r="D296" s="38">
        <f>IF(288&lt;=KALKULATOR!$C$10,KALKULATOR!$C$21,"")</f>
        <v/>
      </c>
      <c r="E296" s="38">
        <f>IF(288&lt;=KALKULATOR!$C$10,-C296*KALKULATOR!$C$9,"")</f>
        <v/>
      </c>
      <c r="F296" s="38">
        <f>IF(288&lt;=KALKULATOR!$C$10,D296-E296,"")</f>
        <v/>
      </c>
      <c r="G296" s="38">
        <f>IF(288&lt;=KALKULATOR!$C$10,C296+F296,"")</f>
        <v/>
      </c>
    </row>
    <row r="297">
      <c r="B297" s="37">
        <f>IF(289&lt;=KALKULATOR!$C$10,289,"")</f>
        <v/>
      </c>
      <c r="C297" s="38">
        <f>IF(289&lt;=KALKULATOR!$C$10,G296,"")</f>
        <v/>
      </c>
      <c r="D297" s="38">
        <f>IF(289&lt;=KALKULATOR!$C$10,KALKULATOR!$C$21,"")</f>
        <v/>
      </c>
      <c r="E297" s="38">
        <f>IF(289&lt;=KALKULATOR!$C$10,-C297*KALKULATOR!$C$9,"")</f>
        <v/>
      </c>
      <c r="F297" s="38">
        <f>IF(289&lt;=KALKULATOR!$C$10,D297-E297,"")</f>
        <v/>
      </c>
      <c r="G297" s="38">
        <f>IF(289&lt;=KALKULATOR!$C$10,C297+F297,"")</f>
        <v/>
      </c>
    </row>
    <row r="298">
      <c r="B298" s="37">
        <f>IF(290&lt;=KALKULATOR!$C$10,290,"")</f>
        <v/>
      </c>
      <c r="C298" s="38">
        <f>IF(290&lt;=KALKULATOR!$C$10,G297,"")</f>
        <v/>
      </c>
      <c r="D298" s="38">
        <f>IF(290&lt;=KALKULATOR!$C$10,KALKULATOR!$C$21,"")</f>
        <v/>
      </c>
      <c r="E298" s="38">
        <f>IF(290&lt;=KALKULATOR!$C$10,-C298*KALKULATOR!$C$9,"")</f>
        <v/>
      </c>
      <c r="F298" s="38">
        <f>IF(290&lt;=KALKULATOR!$C$10,D298-E298,"")</f>
        <v/>
      </c>
      <c r="G298" s="38">
        <f>IF(290&lt;=KALKULATOR!$C$10,C298+F298,"")</f>
        <v/>
      </c>
    </row>
    <row r="299">
      <c r="B299" s="37">
        <f>IF(291&lt;=KALKULATOR!$C$10,291,"")</f>
        <v/>
      </c>
      <c r="C299" s="38">
        <f>IF(291&lt;=KALKULATOR!$C$10,G298,"")</f>
        <v/>
      </c>
      <c r="D299" s="38">
        <f>IF(291&lt;=KALKULATOR!$C$10,KALKULATOR!$C$21,"")</f>
        <v/>
      </c>
      <c r="E299" s="38">
        <f>IF(291&lt;=KALKULATOR!$C$10,-C299*KALKULATOR!$C$9,"")</f>
        <v/>
      </c>
      <c r="F299" s="38">
        <f>IF(291&lt;=KALKULATOR!$C$10,D299-E299,"")</f>
        <v/>
      </c>
      <c r="G299" s="38">
        <f>IF(291&lt;=KALKULATOR!$C$10,C299+F299,"")</f>
        <v/>
      </c>
    </row>
    <row r="300">
      <c r="B300" s="37">
        <f>IF(292&lt;=KALKULATOR!$C$10,292,"")</f>
        <v/>
      </c>
      <c r="C300" s="38">
        <f>IF(292&lt;=KALKULATOR!$C$10,G299,"")</f>
        <v/>
      </c>
      <c r="D300" s="38">
        <f>IF(292&lt;=KALKULATOR!$C$10,KALKULATOR!$C$21,"")</f>
        <v/>
      </c>
      <c r="E300" s="38">
        <f>IF(292&lt;=KALKULATOR!$C$10,-C300*KALKULATOR!$C$9,"")</f>
        <v/>
      </c>
      <c r="F300" s="38">
        <f>IF(292&lt;=KALKULATOR!$C$10,D300-E300,"")</f>
        <v/>
      </c>
      <c r="G300" s="38">
        <f>IF(292&lt;=KALKULATOR!$C$10,C300+F300,"")</f>
        <v/>
      </c>
    </row>
    <row r="301">
      <c r="B301" s="37">
        <f>IF(293&lt;=KALKULATOR!$C$10,293,"")</f>
        <v/>
      </c>
      <c r="C301" s="38">
        <f>IF(293&lt;=KALKULATOR!$C$10,G300,"")</f>
        <v/>
      </c>
      <c r="D301" s="38">
        <f>IF(293&lt;=KALKULATOR!$C$10,KALKULATOR!$C$21,"")</f>
        <v/>
      </c>
      <c r="E301" s="38">
        <f>IF(293&lt;=KALKULATOR!$C$10,-C301*KALKULATOR!$C$9,"")</f>
        <v/>
      </c>
      <c r="F301" s="38">
        <f>IF(293&lt;=KALKULATOR!$C$10,D301-E301,"")</f>
        <v/>
      </c>
      <c r="G301" s="38">
        <f>IF(293&lt;=KALKULATOR!$C$10,C301+F301,"")</f>
        <v/>
      </c>
    </row>
    <row r="302">
      <c r="B302" s="37">
        <f>IF(294&lt;=KALKULATOR!$C$10,294,"")</f>
        <v/>
      </c>
      <c r="C302" s="38">
        <f>IF(294&lt;=KALKULATOR!$C$10,G301,"")</f>
        <v/>
      </c>
      <c r="D302" s="38">
        <f>IF(294&lt;=KALKULATOR!$C$10,KALKULATOR!$C$21,"")</f>
        <v/>
      </c>
      <c r="E302" s="38">
        <f>IF(294&lt;=KALKULATOR!$C$10,-C302*KALKULATOR!$C$9,"")</f>
        <v/>
      </c>
      <c r="F302" s="38">
        <f>IF(294&lt;=KALKULATOR!$C$10,D302-E302,"")</f>
        <v/>
      </c>
      <c r="G302" s="38">
        <f>IF(294&lt;=KALKULATOR!$C$10,C302+F302,"")</f>
        <v/>
      </c>
    </row>
    <row r="303">
      <c r="B303" s="37">
        <f>IF(295&lt;=KALKULATOR!$C$10,295,"")</f>
        <v/>
      </c>
      <c r="C303" s="38">
        <f>IF(295&lt;=KALKULATOR!$C$10,G302,"")</f>
        <v/>
      </c>
      <c r="D303" s="38">
        <f>IF(295&lt;=KALKULATOR!$C$10,KALKULATOR!$C$21,"")</f>
        <v/>
      </c>
      <c r="E303" s="38">
        <f>IF(295&lt;=KALKULATOR!$C$10,-C303*KALKULATOR!$C$9,"")</f>
        <v/>
      </c>
      <c r="F303" s="38">
        <f>IF(295&lt;=KALKULATOR!$C$10,D303-E303,"")</f>
        <v/>
      </c>
      <c r="G303" s="38">
        <f>IF(295&lt;=KALKULATOR!$C$10,C303+F303,"")</f>
        <v/>
      </c>
    </row>
    <row r="304">
      <c r="B304" s="37">
        <f>IF(296&lt;=KALKULATOR!$C$10,296,"")</f>
        <v/>
      </c>
      <c r="C304" s="38">
        <f>IF(296&lt;=KALKULATOR!$C$10,G303,"")</f>
        <v/>
      </c>
      <c r="D304" s="38">
        <f>IF(296&lt;=KALKULATOR!$C$10,KALKULATOR!$C$21,"")</f>
        <v/>
      </c>
      <c r="E304" s="38">
        <f>IF(296&lt;=KALKULATOR!$C$10,-C304*KALKULATOR!$C$9,"")</f>
        <v/>
      </c>
      <c r="F304" s="38">
        <f>IF(296&lt;=KALKULATOR!$C$10,D304-E304,"")</f>
        <v/>
      </c>
      <c r="G304" s="38">
        <f>IF(296&lt;=KALKULATOR!$C$10,C304+F304,"")</f>
        <v/>
      </c>
    </row>
    <row r="305">
      <c r="B305" s="37">
        <f>IF(297&lt;=KALKULATOR!$C$10,297,"")</f>
        <v/>
      </c>
      <c r="C305" s="38">
        <f>IF(297&lt;=KALKULATOR!$C$10,G304,"")</f>
        <v/>
      </c>
      <c r="D305" s="38">
        <f>IF(297&lt;=KALKULATOR!$C$10,KALKULATOR!$C$21,"")</f>
        <v/>
      </c>
      <c r="E305" s="38">
        <f>IF(297&lt;=KALKULATOR!$C$10,-C305*KALKULATOR!$C$9,"")</f>
        <v/>
      </c>
      <c r="F305" s="38">
        <f>IF(297&lt;=KALKULATOR!$C$10,D305-E305,"")</f>
        <v/>
      </c>
      <c r="G305" s="38">
        <f>IF(297&lt;=KALKULATOR!$C$10,C305+F305,"")</f>
        <v/>
      </c>
    </row>
    <row r="306">
      <c r="B306" s="37">
        <f>IF(298&lt;=KALKULATOR!$C$10,298,"")</f>
        <v/>
      </c>
      <c r="C306" s="38">
        <f>IF(298&lt;=KALKULATOR!$C$10,G305,"")</f>
        <v/>
      </c>
      <c r="D306" s="38">
        <f>IF(298&lt;=KALKULATOR!$C$10,KALKULATOR!$C$21,"")</f>
        <v/>
      </c>
      <c r="E306" s="38">
        <f>IF(298&lt;=KALKULATOR!$C$10,-C306*KALKULATOR!$C$9,"")</f>
        <v/>
      </c>
      <c r="F306" s="38">
        <f>IF(298&lt;=KALKULATOR!$C$10,D306-E306,"")</f>
        <v/>
      </c>
      <c r="G306" s="38">
        <f>IF(298&lt;=KALKULATOR!$C$10,C306+F306,"")</f>
        <v/>
      </c>
    </row>
    <row r="307">
      <c r="B307" s="37">
        <f>IF(299&lt;=KALKULATOR!$C$10,299,"")</f>
        <v/>
      </c>
      <c r="C307" s="38">
        <f>IF(299&lt;=KALKULATOR!$C$10,G306,"")</f>
        <v/>
      </c>
      <c r="D307" s="38">
        <f>IF(299&lt;=KALKULATOR!$C$10,KALKULATOR!$C$21,"")</f>
        <v/>
      </c>
      <c r="E307" s="38">
        <f>IF(299&lt;=KALKULATOR!$C$10,-C307*KALKULATOR!$C$9,"")</f>
        <v/>
      </c>
      <c r="F307" s="38">
        <f>IF(299&lt;=KALKULATOR!$C$10,D307-E307,"")</f>
        <v/>
      </c>
      <c r="G307" s="38">
        <f>IF(299&lt;=KALKULATOR!$C$10,C307+F307,"")</f>
        <v/>
      </c>
    </row>
    <row r="308">
      <c r="B308" s="37">
        <f>IF(300&lt;=KALKULATOR!$C$10,300,"")</f>
        <v/>
      </c>
      <c r="C308" s="38">
        <f>IF(300&lt;=KALKULATOR!$C$10,G307,"")</f>
        <v/>
      </c>
      <c r="D308" s="38">
        <f>IF(300&lt;=KALKULATOR!$C$10,KALKULATOR!$C$21,"")</f>
        <v/>
      </c>
      <c r="E308" s="38">
        <f>IF(300&lt;=KALKULATOR!$C$10,-C308*KALKULATOR!$C$9,"")</f>
        <v/>
      </c>
      <c r="F308" s="38">
        <f>IF(300&lt;=KALKULATOR!$C$10,D308-E308,"")</f>
        <v/>
      </c>
      <c r="G308" s="38">
        <f>IF(300&lt;=KALKULATOR!$C$10,C308+F308,"")</f>
        <v/>
      </c>
    </row>
    <row r="309">
      <c r="B309" s="37">
        <f>IF(301&lt;=KALKULATOR!$C$10,301,"")</f>
        <v/>
      </c>
      <c r="C309" s="38">
        <f>IF(301&lt;=KALKULATOR!$C$10,G308,"")</f>
        <v/>
      </c>
      <c r="D309" s="38">
        <f>IF(301&lt;=KALKULATOR!$C$10,KALKULATOR!$C$21,"")</f>
        <v/>
      </c>
      <c r="E309" s="38">
        <f>IF(301&lt;=KALKULATOR!$C$10,-C309*KALKULATOR!$C$9,"")</f>
        <v/>
      </c>
      <c r="F309" s="38">
        <f>IF(301&lt;=KALKULATOR!$C$10,D309-E309,"")</f>
        <v/>
      </c>
      <c r="G309" s="38">
        <f>IF(301&lt;=KALKULATOR!$C$10,C309+F309,"")</f>
        <v/>
      </c>
    </row>
    <row r="310">
      <c r="B310" s="37">
        <f>IF(302&lt;=KALKULATOR!$C$10,302,"")</f>
        <v/>
      </c>
      <c r="C310" s="38">
        <f>IF(302&lt;=KALKULATOR!$C$10,G309,"")</f>
        <v/>
      </c>
      <c r="D310" s="38">
        <f>IF(302&lt;=KALKULATOR!$C$10,KALKULATOR!$C$21,"")</f>
        <v/>
      </c>
      <c r="E310" s="38">
        <f>IF(302&lt;=KALKULATOR!$C$10,-C310*KALKULATOR!$C$9,"")</f>
        <v/>
      </c>
      <c r="F310" s="38">
        <f>IF(302&lt;=KALKULATOR!$C$10,D310-E310,"")</f>
        <v/>
      </c>
      <c r="G310" s="38">
        <f>IF(302&lt;=KALKULATOR!$C$10,C310+F310,"")</f>
        <v/>
      </c>
    </row>
    <row r="311">
      <c r="B311" s="37">
        <f>IF(303&lt;=KALKULATOR!$C$10,303,"")</f>
        <v/>
      </c>
      <c r="C311" s="38">
        <f>IF(303&lt;=KALKULATOR!$C$10,G310,"")</f>
        <v/>
      </c>
      <c r="D311" s="38">
        <f>IF(303&lt;=KALKULATOR!$C$10,KALKULATOR!$C$21,"")</f>
        <v/>
      </c>
      <c r="E311" s="38">
        <f>IF(303&lt;=KALKULATOR!$C$10,-C311*KALKULATOR!$C$9,"")</f>
        <v/>
      </c>
      <c r="F311" s="38">
        <f>IF(303&lt;=KALKULATOR!$C$10,D311-E311,"")</f>
        <v/>
      </c>
      <c r="G311" s="38">
        <f>IF(303&lt;=KALKULATOR!$C$10,C311+F311,"")</f>
        <v/>
      </c>
    </row>
    <row r="312">
      <c r="B312" s="37">
        <f>IF(304&lt;=KALKULATOR!$C$10,304,"")</f>
        <v/>
      </c>
      <c r="C312" s="38">
        <f>IF(304&lt;=KALKULATOR!$C$10,G311,"")</f>
        <v/>
      </c>
      <c r="D312" s="38">
        <f>IF(304&lt;=KALKULATOR!$C$10,KALKULATOR!$C$21,"")</f>
        <v/>
      </c>
      <c r="E312" s="38">
        <f>IF(304&lt;=KALKULATOR!$C$10,-C312*KALKULATOR!$C$9,"")</f>
        <v/>
      </c>
      <c r="F312" s="38">
        <f>IF(304&lt;=KALKULATOR!$C$10,D312-E312,"")</f>
        <v/>
      </c>
      <c r="G312" s="38">
        <f>IF(304&lt;=KALKULATOR!$C$10,C312+F312,"")</f>
        <v/>
      </c>
    </row>
    <row r="313">
      <c r="B313" s="37">
        <f>IF(305&lt;=KALKULATOR!$C$10,305,"")</f>
        <v/>
      </c>
      <c r="C313" s="38">
        <f>IF(305&lt;=KALKULATOR!$C$10,G312,"")</f>
        <v/>
      </c>
      <c r="D313" s="38">
        <f>IF(305&lt;=KALKULATOR!$C$10,KALKULATOR!$C$21,"")</f>
        <v/>
      </c>
      <c r="E313" s="38">
        <f>IF(305&lt;=KALKULATOR!$C$10,-C313*KALKULATOR!$C$9,"")</f>
        <v/>
      </c>
      <c r="F313" s="38">
        <f>IF(305&lt;=KALKULATOR!$C$10,D313-E313,"")</f>
        <v/>
      </c>
      <c r="G313" s="38">
        <f>IF(305&lt;=KALKULATOR!$C$10,C313+F313,"")</f>
        <v/>
      </c>
    </row>
    <row r="314">
      <c r="B314" s="37">
        <f>IF(306&lt;=KALKULATOR!$C$10,306,"")</f>
        <v/>
      </c>
      <c r="C314" s="38">
        <f>IF(306&lt;=KALKULATOR!$C$10,G313,"")</f>
        <v/>
      </c>
      <c r="D314" s="38">
        <f>IF(306&lt;=KALKULATOR!$C$10,KALKULATOR!$C$21,"")</f>
        <v/>
      </c>
      <c r="E314" s="38">
        <f>IF(306&lt;=KALKULATOR!$C$10,-C314*KALKULATOR!$C$9,"")</f>
        <v/>
      </c>
      <c r="F314" s="38">
        <f>IF(306&lt;=KALKULATOR!$C$10,D314-E314,"")</f>
        <v/>
      </c>
      <c r="G314" s="38">
        <f>IF(306&lt;=KALKULATOR!$C$10,C314+F314,"")</f>
        <v/>
      </c>
    </row>
    <row r="315">
      <c r="B315" s="37">
        <f>IF(307&lt;=KALKULATOR!$C$10,307,"")</f>
        <v/>
      </c>
      <c r="C315" s="38">
        <f>IF(307&lt;=KALKULATOR!$C$10,G314,"")</f>
        <v/>
      </c>
      <c r="D315" s="38">
        <f>IF(307&lt;=KALKULATOR!$C$10,KALKULATOR!$C$21,"")</f>
        <v/>
      </c>
      <c r="E315" s="38">
        <f>IF(307&lt;=KALKULATOR!$C$10,-C315*KALKULATOR!$C$9,"")</f>
        <v/>
      </c>
      <c r="F315" s="38">
        <f>IF(307&lt;=KALKULATOR!$C$10,D315-E315,"")</f>
        <v/>
      </c>
      <c r="G315" s="38">
        <f>IF(307&lt;=KALKULATOR!$C$10,C315+F315,"")</f>
        <v/>
      </c>
    </row>
    <row r="316">
      <c r="B316" s="37">
        <f>IF(308&lt;=KALKULATOR!$C$10,308,"")</f>
        <v/>
      </c>
      <c r="C316" s="38">
        <f>IF(308&lt;=KALKULATOR!$C$10,G315,"")</f>
        <v/>
      </c>
      <c r="D316" s="38">
        <f>IF(308&lt;=KALKULATOR!$C$10,KALKULATOR!$C$21,"")</f>
        <v/>
      </c>
      <c r="E316" s="38">
        <f>IF(308&lt;=KALKULATOR!$C$10,-C316*KALKULATOR!$C$9,"")</f>
        <v/>
      </c>
      <c r="F316" s="38">
        <f>IF(308&lt;=KALKULATOR!$C$10,D316-E316,"")</f>
        <v/>
      </c>
      <c r="G316" s="38">
        <f>IF(308&lt;=KALKULATOR!$C$10,C316+F316,"")</f>
        <v/>
      </c>
    </row>
    <row r="317">
      <c r="B317" s="37">
        <f>IF(309&lt;=KALKULATOR!$C$10,309,"")</f>
        <v/>
      </c>
      <c r="C317" s="38">
        <f>IF(309&lt;=KALKULATOR!$C$10,G316,"")</f>
        <v/>
      </c>
      <c r="D317" s="38">
        <f>IF(309&lt;=KALKULATOR!$C$10,KALKULATOR!$C$21,"")</f>
        <v/>
      </c>
      <c r="E317" s="38">
        <f>IF(309&lt;=KALKULATOR!$C$10,-C317*KALKULATOR!$C$9,"")</f>
        <v/>
      </c>
      <c r="F317" s="38">
        <f>IF(309&lt;=KALKULATOR!$C$10,D317-E317,"")</f>
        <v/>
      </c>
      <c r="G317" s="38">
        <f>IF(309&lt;=KALKULATOR!$C$10,C317+F317,"")</f>
        <v/>
      </c>
    </row>
    <row r="318">
      <c r="B318" s="37">
        <f>IF(310&lt;=KALKULATOR!$C$10,310,"")</f>
        <v/>
      </c>
      <c r="C318" s="38">
        <f>IF(310&lt;=KALKULATOR!$C$10,G317,"")</f>
        <v/>
      </c>
      <c r="D318" s="38">
        <f>IF(310&lt;=KALKULATOR!$C$10,KALKULATOR!$C$21,"")</f>
        <v/>
      </c>
      <c r="E318" s="38">
        <f>IF(310&lt;=KALKULATOR!$C$10,-C318*KALKULATOR!$C$9,"")</f>
        <v/>
      </c>
      <c r="F318" s="38">
        <f>IF(310&lt;=KALKULATOR!$C$10,D318-E318,"")</f>
        <v/>
      </c>
      <c r="G318" s="38">
        <f>IF(310&lt;=KALKULATOR!$C$10,C318+F318,"")</f>
        <v/>
      </c>
    </row>
    <row r="319">
      <c r="B319" s="37">
        <f>IF(311&lt;=KALKULATOR!$C$10,311,"")</f>
        <v/>
      </c>
      <c r="C319" s="38">
        <f>IF(311&lt;=KALKULATOR!$C$10,G318,"")</f>
        <v/>
      </c>
      <c r="D319" s="38">
        <f>IF(311&lt;=KALKULATOR!$C$10,KALKULATOR!$C$21,"")</f>
        <v/>
      </c>
      <c r="E319" s="38">
        <f>IF(311&lt;=KALKULATOR!$C$10,-C319*KALKULATOR!$C$9,"")</f>
        <v/>
      </c>
      <c r="F319" s="38">
        <f>IF(311&lt;=KALKULATOR!$C$10,D319-E319,"")</f>
        <v/>
      </c>
      <c r="G319" s="38">
        <f>IF(311&lt;=KALKULATOR!$C$10,C319+F319,"")</f>
        <v/>
      </c>
    </row>
    <row r="320">
      <c r="B320" s="37">
        <f>IF(312&lt;=KALKULATOR!$C$10,312,"")</f>
        <v/>
      </c>
      <c r="C320" s="38">
        <f>IF(312&lt;=KALKULATOR!$C$10,G319,"")</f>
        <v/>
      </c>
      <c r="D320" s="38">
        <f>IF(312&lt;=KALKULATOR!$C$10,KALKULATOR!$C$21,"")</f>
        <v/>
      </c>
      <c r="E320" s="38">
        <f>IF(312&lt;=KALKULATOR!$C$10,-C320*KALKULATOR!$C$9,"")</f>
        <v/>
      </c>
      <c r="F320" s="38">
        <f>IF(312&lt;=KALKULATOR!$C$10,D320-E320,"")</f>
        <v/>
      </c>
      <c r="G320" s="38">
        <f>IF(312&lt;=KALKULATOR!$C$10,C320+F320,"")</f>
        <v/>
      </c>
    </row>
    <row r="321">
      <c r="B321" s="37">
        <f>IF(313&lt;=KALKULATOR!$C$10,313,"")</f>
        <v/>
      </c>
      <c r="C321" s="38">
        <f>IF(313&lt;=KALKULATOR!$C$10,G320,"")</f>
        <v/>
      </c>
      <c r="D321" s="38">
        <f>IF(313&lt;=KALKULATOR!$C$10,KALKULATOR!$C$21,"")</f>
        <v/>
      </c>
      <c r="E321" s="38">
        <f>IF(313&lt;=KALKULATOR!$C$10,-C321*KALKULATOR!$C$9,"")</f>
        <v/>
      </c>
      <c r="F321" s="38">
        <f>IF(313&lt;=KALKULATOR!$C$10,D321-E321,"")</f>
        <v/>
      </c>
      <c r="G321" s="38">
        <f>IF(313&lt;=KALKULATOR!$C$10,C321+F321,"")</f>
        <v/>
      </c>
    </row>
    <row r="322">
      <c r="B322" s="37">
        <f>IF(314&lt;=KALKULATOR!$C$10,314,"")</f>
        <v/>
      </c>
      <c r="C322" s="38">
        <f>IF(314&lt;=KALKULATOR!$C$10,G321,"")</f>
        <v/>
      </c>
      <c r="D322" s="38">
        <f>IF(314&lt;=KALKULATOR!$C$10,KALKULATOR!$C$21,"")</f>
        <v/>
      </c>
      <c r="E322" s="38">
        <f>IF(314&lt;=KALKULATOR!$C$10,-C322*KALKULATOR!$C$9,"")</f>
        <v/>
      </c>
      <c r="F322" s="38">
        <f>IF(314&lt;=KALKULATOR!$C$10,D322-E322,"")</f>
        <v/>
      </c>
      <c r="G322" s="38">
        <f>IF(314&lt;=KALKULATOR!$C$10,C322+F322,"")</f>
        <v/>
      </c>
    </row>
    <row r="323">
      <c r="B323" s="37">
        <f>IF(315&lt;=KALKULATOR!$C$10,315,"")</f>
        <v/>
      </c>
      <c r="C323" s="38">
        <f>IF(315&lt;=KALKULATOR!$C$10,G322,"")</f>
        <v/>
      </c>
      <c r="D323" s="38">
        <f>IF(315&lt;=KALKULATOR!$C$10,KALKULATOR!$C$21,"")</f>
        <v/>
      </c>
      <c r="E323" s="38">
        <f>IF(315&lt;=KALKULATOR!$C$10,-C323*KALKULATOR!$C$9,"")</f>
        <v/>
      </c>
      <c r="F323" s="38">
        <f>IF(315&lt;=KALKULATOR!$C$10,D323-E323,"")</f>
        <v/>
      </c>
      <c r="G323" s="38">
        <f>IF(315&lt;=KALKULATOR!$C$10,C323+F323,"")</f>
        <v/>
      </c>
    </row>
    <row r="324">
      <c r="B324" s="37">
        <f>IF(316&lt;=KALKULATOR!$C$10,316,"")</f>
        <v/>
      </c>
      <c r="C324" s="38">
        <f>IF(316&lt;=KALKULATOR!$C$10,G323,"")</f>
        <v/>
      </c>
      <c r="D324" s="38">
        <f>IF(316&lt;=KALKULATOR!$C$10,KALKULATOR!$C$21,"")</f>
        <v/>
      </c>
      <c r="E324" s="38">
        <f>IF(316&lt;=KALKULATOR!$C$10,-C324*KALKULATOR!$C$9,"")</f>
        <v/>
      </c>
      <c r="F324" s="38">
        <f>IF(316&lt;=KALKULATOR!$C$10,D324-E324,"")</f>
        <v/>
      </c>
      <c r="G324" s="38">
        <f>IF(316&lt;=KALKULATOR!$C$10,C324+F324,"")</f>
        <v/>
      </c>
    </row>
    <row r="325">
      <c r="B325" s="37">
        <f>IF(317&lt;=KALKULATOR!$C$10,317,"")</f>
        <v/>
      </c>
      <c r="C325" s="38">
        <f>IF(317&lt;=KALKULATOR!$C$10,G324,"")</f>
        <v/>
      </c>
      <c r="D325" s="38">
        <f>IF(317&lt;=KALKULATOR!$C$10,KALKULATOR!$C$21,"")</f>
        <v/>
      </c>
      <c r="E325" s="38">
        <f>IF(317&lt;=KALKULATOR!$C$10,-C325*KALKULATOR!$C$9,"")</f>
        <v/>
      </c>
      <c r="F325" s="38">
        <f>IF(317&lt;=KALKULATOR!$C$10,D325-E325,"")</f>
        <v/>
      </c>
      <c r="G325" s="38">
        <f>IF(317&lt;=KALKULATOR!$C$10,C325+F325,"")</f>
        <v/>
      </c>
    </row>
    <row r="326">
      <c r="B326" s="37">
        <f>IF(318&lt;=KALKULATOR!$C$10,318,"")</f>
        <v/>
      </c>
      <c r="C326" s="38">
        <f>IF(318&lt;=KALKULATOR!$C$10,G325,"")</f>
        <v/>
      </c>
      <c r="D326" s="38">
        <f>IF(318&lt;=KALKULATOR!$C$10,KALKULATOR!$C$21,"")</f>
        <v/>
      </c>
      <c r="E326" s="38">
        <f>IF(318&lt;=KALKULATOR!$C$10,-C326*KALKULATOR!$C$9,"")</f>
        <v/>
      </c>
      <c r="F326" s="38">
        <f>IF(318&lt;=KALKULATOR!$C$10,D326-E326,"")</f>
        <v/>
      </c>
      <c r="G326" s="38">
        <f>IF(318&lt;=KALKULATOR!$C$10,C326+F326,"")</f>
        <v/>
      </c>
    </row>
    <row r="327">
      <c r="B327" s="37">
        <f>IF(319&lt;=KALKULATOR!$C$10,319,"")</f>
        <v/>
      </c>
      <c r="C327" s="38">
        <f>IF(319&lt;=KALKULATOR!$C$10,G326,"")</f>
        <v/>
      </c>
      <c r="D327" s="38">
        <f>IF(319&lt;=KALKULATOR!$C$10,KALKULATOR!$C$21,"")</f>
        <v/>
      </c>
      <c r="E327" s="38">
        <f>IF(319&lt;=KALKULATOR!$C$10,-C327*KALKULATOR!$C$9,"")</f>
        <v/>
      </c>
      <c r="F327" s="38">
        <f>IF(319&lt;=KALKULATOR!$C$10,D327-E327,"")</f>
        <v/>
      </c>
      <c r="G327" s="38">
        <f>IF(319&lt;=KALKULATOR!$C$10,C327+F327,"")</f>
        <v/>
      </c>
    </row>
    <row r="328">
      <c r="B328" s="37">
        <f>IF(320&lt;=KALKULATOR!$C$10,320,"")</f>
        <v/>
      </c>
      <c r="C328" s="38">
        <f>IF(320&lt;=KALKULATOR!$C$10,G327,"")</f>
        <v/>
      </c>
      <c r="D328" s="38">
        <f>IF(320&lt;=KALKULATOR!$C$10,KALKULATOR!$C$21,"")</f>
        <v/>
      </c>
      <c r="E328" s="38">
        <f>IF(320&lt;=KALKULATOR!$C$10,-C328*KALKULATOR!$C$9,"")</f>
        <v/>
      </c>
      <c r="F328" s="38">
        <f>IF(320&lt;=KALKULATOR!$C$10,D328-E328,"")</f>
        <v/>
      </c>
      <c r="G328" s="38">
        <f>IF(320&lt;=KALKULATOR!$C$10,C328+F328,"")</f>
        <v/>
      </c>
    </row>
    <row r="329">
      <c r="B329" s="37">
        <f>IF(321&lt;=KALKULATOR!$C$10,321,"")</f>
        <v/>
      </c>
      <c r="C329" s="38">
        <f>IF(321&lt;=KALKULATOR!$C$10,G328,"")</f>
        <v/>
      </c>
      <c r="D329" s="38">
        <f>IF(321&lt;=KALKULATOR!$C$10,KALKULATOR!$C$21,"")</f>
        <v/>
      </c>
      <c r="E329" s="38">
        <f>IF(321&lt;=KALKULATOR!$C$10,-C329*KALKULATOR!$C$9,"")</f>
        <v/>
      </c>
      <c r="F329" s="38">
        <f>IF(321&lt;=KALKULATOR!$C$10,D329-E329,"")</f>
        <v/>
      </c>
      <c r="G329" s="38">
        <f>IF(321&lt;=KALKULATOR!$C$10,C329+F329,"")</f>
        <v/>
      </c>
    </row>
    <row r="330">
      <c r="B330" s="37">
        <f>IF(322&lt;=KALKULATOR!$C$10,322,"")</f>
        <v/>
      </c>
      <c r="C330" s="38">
        <f>IF(322&lt;=KALKULATOR!$C$10,G329,"")</f>
        <v/>
      </c>
      <c r="D330" s="38">
        <f>IF(322&lt;=KALKULATOR!$C$10,KALKULATOR!$C$21,"")</f>
        <v/>
      </c>
      <c r="E330" s="38">
        <f>IF(322&lt;=KALKULATOR!$C$10,-C330*KALKULATOR!$C$9,"")</f>
        <v/>
      </c>
      <c r="F330" s="38">
        <f>IF(322&lt;=KALKULATOR!$C$10,D330-E330,"")</f>
        <v/>
      </c>
      <c r="G330" s="38">
        <f>IF(322&lt;=KALKULATOR!$C$10,C330+F330,"")</f>
        <v/>
      </c>
    </row>
    <row r="331">
      <c r="B331" s="37">
        <f>IF(323&lt;=KALKULATOR!$C$10,323,"")</f>
        <v/>
      </c>
      <c r="C331" s="38">
        <f>IF(323&lt;=KALKULATOR!$C$10,G330,"")</f>
        <v/>
      </c>
      <c r="D331" s="38">
        <f>IF(323&lt;=KALKULATOR!$C$10,KALKULATOR!$C$21,"")</f>
        <v/>
      </c>
      <c r="E331" s="38">
        <f>IF(323&lt;=KALKULATOR!$C$10,-C331*KALKULATOR!$C$9,"")</f>
        <v/>
      </c>
      <c r="F331" s="38">
        <f>IF(323&lt;=KALKULATOR!$C$10,D331-E331,"")</f>
        <v/>
      </c>
      <c r="G331" s="38">
        <f>IF(323&lt;=KALKULATOR!$C$10,C331+F331,"")</f>
        <v/>
      </c>
    </row>
    <row r="332">
      <c r="B332" s="37">
        <f>IF(324&lt;=KALKULATOR!$C$10,324,"")</f>
        <v/>
      </c>
      <c r="C332" s="38">
        <f>IF(324&lt;=KALKULATOR!$C$10,G331,"")</f>
        <v/>
      </c>
      <c r="D332" s="38">
        <f>IF(324&lt;=KALKULATOR!$C$10,KALKULATOR!$C$21,"")</f>
        <v/>
      </c>
      <c r="E332" s="38">
        <f>IF(324&lt;=KALKULATOR!$C$10,-C332*KALKULATOR!$C$9,"")</f>
        <v/>
      </c>
      <c r="F332" s="38">
        <f>IF(324&lt;=KALKULATOR!$C$10,D332-E332,"")</f>
        <v/>
      </c>
      <c r="G332" s="38">
        <f>IF(324&lt;=KALKULATOR!$C$10,C332+F332,"")</f>
        <v/>
      </c>
    </row>
    <row r="333">
      <c r="B333" s="37">
        <f>IF(325&lt;=KALKULATOR!$C$10,325,"")</f>
        <v/>
      </c>
      <c r="C333" s="38">
        <f>IF(325&lt;=KALKULATOR!$C$10,G332,"")</f>
        <v/>
      </c>
      <c r="D333" s="38">
        <f>IF(325&lt;=KALKULATOR!$C$10,KALKULATOR!$C$21,"")</f>
        <v/>
      </c>
      <c r="E333" s="38">
        <f>IF(325&lt;=KALKULATOR!$C$10,-C333*KALKULATOR!$C$9,"")</f>
        <v/>
      </c>
      <c r="F333" s="38">
        <f>IF(325&lt;=KALKULATOR!$C$10,D333-E333,"")</f>
        <v/>
      </c>
      <c r="G333" s="38">
        <f>IF(325&lt;=KALKULATOR!$C$10,C333+F333,"")</f>
        <v/>
      </c>
    </row>
    <row r="334">
      <c r="B334" s="37">
        <f>IF(326&lt;=KALKULATOR!$C$10,326,"")</f>
        <v/>
      </c>
      <c r="C334" s="38">
        <f>IF(326&lt;=KALKULATOR!$C$10,G333,"")</f>
        <v/>
      </c>
      <c r="D334" s="38">
        <f>IF(326&lt;=KALKULATOR!$C$10,KALKULATOR!$C$21,"")</f>
        <v/>
      </c>
      <c r="E334" s="38">
        <f>IF(326&lt;=KALKULATOR!$C$10,-C334*KALKULATOR!$C$9,"")</f>
        <v/>
      </c>
      <c r="F334" s="38">
        <f>IF(326&lt;=KALKULATOR!$C$10,D334-E334,"")</f>
        <v/>
      </c>
      <c r="G334" s="38">
        <f>IF(326&lt;=KALKULATOR!$C$10,C334+F334,"")</f>
        <v/>
      </c>
    </row>
    <row r="335">
      <c r="B335" s="37">
        <f>IF(327&lt;=KALKULATOR!$C$10,327,"")</f>
        <v/>
      </c>
      <c r="C335" s="38">
        <f>IF(327&lt;=KALKULATOR!$C$10,G334,"")</f>
        <v/>
      </c>
      <c r="D335" s="38">
        <f>IF(327&lt;=KALKULATOR!$C$10,KALKULATOR!$C$21,"")</f>
        <v/>
      </c>
      <c r="E335" s="38">
        <f>IF(327&lt;=KALKULATOR!$C$10,-C335*KALKULATOR!$C$9,"")</f>
        <v/>
      </c>
      <c r="F335" s="38">
        <f>IF(327&lt;=KALKULATOR!$C$10,D335-E335,"")</f>
        <v/>
      </c>
      <c r="G335" s="38">
        <f>IF(327&lt;=KALKULATOR!$C$10,C335+F335,"")</f>
        <v/>
      </c>
    </row>
    <row r="336">
      <c r="B336" s="37">
        <f>IF(328&lt;=KALKULATOR!$C$10,328,"")</f>
        <v/>
      </c>
      <c r="C336" s="38">
        <f>IF(328&lt;=KALKULATOR!$C$10,G335,"")</f>
        <v/>
      </c>
      <c r="D336" s="38">
        <f>IF(328&lt;=KALKULATOR!$C$10,KALKULATOR!$C$21,"")</f>
        <v/>
      </c>
      <c r="E336" s="38">
        <f>IF(328&lt;=KALKULATOR!$C$10,-C336*KALKULATOR!$C$9,"")</f>
        <v/>
      </c>
      <c r="F336" s="38">
        <f>IF(328&lt;=KALKULATOR!$C$10,D336-E336,"")</f>
        <v/>
      </c>
      <c r="G336" s="38">
        <f>IF(328&lt;=KALKULATOR!$C$10,C336+F336,"")</f>
        <v/>
      </c>
    </row>
    <row r="337">
      <c r="B337" s="37">
        <f>IF(329&lt;=KALKULATOR!$C$10,329,"")</f>
        <v/>
      </c>
      <c r="C337" s="38">
        <f>IF(329&lt;=KALKULATOR!$C$10,G336,"")</f>
        <v/>
      </c>
      <c r="D337" s="38">
        <f>IF(329&lt;=KALKULATOR!$C$10,KALKULATOR!$C$21,"")</f>
        <v/>
      </c>
      <c r="E337" s="38">
        <f>IF(329&lt;=KALKULATOR!$C$10,-C337*KALKULATOR!$C$9,"")</f>
        <v/>
      </c>
      <c r="F337" s="38">
        <f>IF(329&lt;=KALKULATOR!$C$10,D337-E337,"")</f>
        <v/>
      </c>
      <c r="G337" s="38">
        <f>IF(329&lt;=KALKULATOR!$C$10,C337+F337,"")</f>
        <v/>
      </c>
    </row>
    <row r="338">
      <c r="B338" s="37">
        <f>IF(330&lt;=KALKULATOR!$C$10,330,"")</f>
        <v/>
      </c>
      <c r="C338" s="38">
        <f>IF(330&lt;=KALKULATOR!$C$10,G337,"")</f>
        <v/>
      </c>
      <c r="D338" s="38">
        <f>IF(330&lt;=KALKULATOR!$C$10,KALKULATOR!$C$21,"")</f>
        <v/>
      </c>
      <c r="E338" s="38">
        <f>IF(330&lt;=KALKULATOR!$C$10,-C338*KALKULATOR!$C$9,"")</f>
        <v/>
      </c>
      <c r="F338" s="38">
        <f>IF(330&lt;=KALKULATOR!$C$10,D338-E338,"")</f>
        <v/>
      </c>
      <c r="G338" s="38">
        <f>IF(330&lt;=KALKULATOR!$C$10,C338+F338,"")</f>
        <v/>
      </c>
    </row>
    <row r="339">
      <c r="B339" s="37">
        <f>IF(331&lt;=KALKULATOR!$C$10,331,"")</f>
        <v/>
      </c>
      <c r="C339" s="38">
        <f>IF(331&lt;=KALKULATOR!$C$10,G338,"")</f>
        <v/>
      </c>
      <c r="D339" s="38">
        <f>IF(331&lt;=KALKULATOR!$C$10,KALKULATOR!$C$21,"")</f>
        <v/>
      </c>
      <c r="E339" s="38">
        <f>IF(331&lt;=KALKULATOR!$C$10,-C339*KALKULATOR!$C$9,"")</f>
        <v/>
      </c>
      <c r="F339" s="38">
        <f>IF(331&lt;=KALKULATOR!$C$10,D339-E339,"")</f>
        <v/>
      </c>
      <c r="G339" s="38">
        <f>IF(331&lt;=KALKULATOR!$C$10,C339+F339,"")</f>
        <v/>
      </c>
    </row>
    <row r="340">
      <c r="B340" s="37">
        <f>IF(332&lt;=KALKULATOR!$C$10,332,"")</f>
        <v/>
      </c>
      <c r="C340" s="38">
        <f>IF(332&lt;=KALKULATOR!$C$10,G339,"")</f>
        <v/>
      </c>
      <c r="D340" s="38">
        <f>IF(332&lt;=KALKULATOR!$C$10,KALKULATOR!$C$21,"")</f>
        <v/>
      </c>
      <c r="E340" s="38">
        <f>IF(332&lt;=KALKULATOR!$C$10,-C340*KALKULATOR!$C$9,"")</f>
        <v/>
      </c>
      <c r="F340" s="38">
        <f>IF(332&lt;=KALKULATOR!$C$10,D340-E340,"")</f>
        <v/>
      </c>
      <c r="G340" s="38">
        <f>IF(332&lt;=KALKULATOR!$C$10,C340+F340,"")</f>
        <v/>
      </c>
    </row>
    <row r="341">
      <c r="B341" s="37">
        <f>IF(333&lt;=KALKULATOR!$C$10,333,"")</f>
        <v/>
      </c>
      <c r="C341" s="38">
        <f>IF(333&lt;=KALKULATOR!$C$10,G340,"")</f>
        <v/>
      </c>
      <c r="D341" s="38">
        <f>IF(333&lt;=KALKULATOR!$C$10,KALKULATOR!$C$21,"")</f>
        <v/>
      </c>
      <c r="E341" s="38">
        <f>IF(333&lt;=KALKULATOR!$C$10,-C341*KALKULATOR!$C$9,"")</f>
        <v/>
      </c>
      <c r="F341" s="38">
        <f>IF(333&lt;=KALKULATOR!$C$10,D341-E341,"")</f>
        <v/>
      </c>
      <c r="G341" s="38">
        <f>IF(333&lt;=KALKULATOR!$C$10,C341+F341,"")</f>
        <v/>
      </c>
    </row>
    <row r="342">
      <c r="B342" s="37">
        <f>IF(334&lt;=KALKULATOR!$C$10,334,"")</f>
        <v/>
      </c>
      <c r="C342" s="38">
        <f>IF(334&lt;=KALKULATOR!$C$10,G341,"")</f>
        <v/>
      </c>
      <c r="D342" s="38">
        <f>IF(334&lt;=KALKULATOR!$C$10,KALKULATOR!$C$21,"")</f>
        <v/>
      </c>
      <c r="E342" s="38">
        <f>IF(334&lt;=KALKULATOR!$C$10,-C342*KALKULATOR!$C$9,"")</f>
        <v/>
      </c>
      <c r="F342" s="38">
        <f>IF(334&lt;=KALKULATOR!$C$10,D342-E342,"")</f>
        <v/>
      </c>
      <c r="G342" s="38">
        <f>IF(334&lt;=KALKULATOR!$C$10,C342+F342,"")</f>
        <v/>
      </c>
    </row>
    <row r="343">
      <c r="B343" s="37">
        <f>IF(335&lt;=KALKULATOR!$C$10,335,"")</f>
        <v/>
      </c>
      <c r="C343" s="38">
        <f>IF(335&lt;=KALKULATOR!$C$10,G342,"")</f>
        <v/>
      </c>
      <c r="D343" s="38">
        <f>IF(335&lt;=KALKULATOR!$C$10,KALKULATOR!$C$21,"")</f>
        <v/>
      </c>
      <c r="E343" s="38">
        <f>IF(335&lt;=KALKULATOR!$C$10,-C343*KALKULATOR!$C$9,"")</f>
        <v/>
      </c>
      <c r="F343" s="38">
        <f>IF(335&lt;=KALKULATOR!$C$10,D343-E343,"")</f>
        <v/>
      </c>
      <c r="G343" s="38">
        <f>IF(335&lt;=KALKULATOR!$C$10,C343+F343,"")</f>
        <v/>
      </c>
    </row>
    <row r="344">
      <c r="B344" s="37">
        <f>IF(336&lt;=KALKULATOR!$C$10,336,"")</f>
        <v/>
      </c>
      <c r="C344" s="38">
        <f>IF(336&lt;=KALKULATOR!$C$10,G343,"")</f>
        <v/>
      </c>
      <c r="D344" s="38">
        <f>IF(336&lt;=KALKULATOR!$C$10,KALKULATOR!$C$21,"")</f>
        <v/>
      </c>
      <c r="E344" s="38">
        <f>IF(336&lt;=KALKULATOR!$C$10,-C344*KALKULATOR!$C$9,"")</f>
        <v/>
      </c>
      <c r="F344" s="38">
        <f>IF(336&lt;=KALKULATOR!$C$10,D344-E344,"")</f>
        <v/>
      </c>
      <c r="G344" s="38">
        <f>IF(336&lt;=KALKULATOR!$C$10,C344+F344,"")</f>
        <v/>
      </c>
    </row>
    <row r="345">
      <c r="B345" s="37">
        <f>IF(337&lt;=KALKULATOR!$C$10,337,"")</f>
        <v/>
      </c>
      <c r="C345" s="38">
        <f>IF(337&lt;=KALKULATOR!$C$10,G344,"")</f>
        <v/>
      </c>
      <c r="D345" s="38">
        <f>IF(337&lt;=KALKULATOR!$C$10,KALKULATOR!$C$21,"")</f>
        <v/>
      </c>
      <c r="E345" s="38">
        <f>IF(337&lt;=KALKULATOR!$C$10,-C345*KALKULATOR!$C$9,"")</f>
        <v/>
      </c>
      <c r="F345" s="38">
        <f>IF(337&lt;=KALKULATOR!$C$10,D345-E345,"")</f>
        <v/>
      </c>
      <c r="G345" s="38">
        <f>IF(337&lt;=KALKULATOR!$C$10,C345+F345,"")</f>
        <v/>
      </c>
    </row>
    <row r="346">
      <c r="B346" s="37">
        <f>IF(338&lt;=KALKULATOR!$C$10,338,"")</f>
        <v/>
      </c>
      <c r="C346" s="38">
        <f>IF(338&lt;=KALKULATOR!$C$10,G345,"")</f>
        <v/>
      </c>
      <c r="D346" s="38">
        <f>IF(338&lt;=KALKULATOR!$C$10,KALKULATOR!$C$21,"")</f>
        <v/>
      </c>
      <c r="E346" s="38">
        <f>IF(338&lt;=KALKULATOR!$C$10,-C346*KALKULATOR!$C$9,"")</f>
        <v/>
      </c>
      <c r="F346" s="38">
        <f>IF(338&lt;=KALKULATOR!$C$10,D346-E346,"")</f>
        <v/>
      </c>
      <c r="G346" s="38">
        <f>IF(338&lt;=KALKULATOR!$C$10,C346+F346,"")</f>
        <v/>
      </c>
    </row>
    <row r="347">
      <c r="B347" s="37">
        <f>IF(339&lt;=KALKULATOR!$C$10,339,"")</f>
        <v/>
      </c>
      <c r="C347" s="38">
        <f>IF(339&lt;=KALKULATOR!$C$10,G346,"")</f>
        <v/>
      </c>
      <c r="D347" s="38">
        <f>IF(339&lt;=KALKULATOR!$C$10,KALKULATOR!$C$21,"")</f>
        <v/>
      </c>
      <c r="E347" s="38">
        <f>IF(339&lt;=KALKULATOR!$C$10,-C347*KALKULATOR!$C$9,"")</f>
        <v/>
      </c>
      <c r="F347" s="38">
        <f>IF(339&lt;=KALKULATOR!$C$10,D347-E347,"")</f>
        <v/>
      </c>
      <c r="G347" s="38">
        <f>IF(339&lt;=KALKULATOR!$C$10,C347+F347,"")</f>
        <v/>
      </c>
    </row>
    <row r="348">
      <c r="B348" s="37">
        <f>IF(340&lt;=KALKULATOR!$C$10,340,"")</f>
        <v/>
      </c>
      <c r="C348" s="38">
        <f>IF(340&lt;=KALKULATOR!$C$10,G347,"")</f>
        <v/>
      </c>
      <c r="D348" s="38">
        <f>IF(340&lt;=KALKULATOR!$C$10,KALKULATOR!$C$21,"")</f>
        <v/>
      </c>
      <c r="E348" s="38">
        <f>IF(340&lt;=KALKULATOR!$C$10,-C348*KALKULATOR!$C$9,"")</f>
        <v/>
      </c>
      <c r="F348" s="38">
        <f>IF(340&lt;=KALKULATOR!$C$10,D348-E348,"")</f>
        <v/>
      </c>
      <c r="G348" s="38">
        <f>IF(340&lt;=KALKULATOR!$C$10,C348+F348,"")</f>
        <v/>
      </c>
    </row>
    <row r="349">
      <c r="B349" s="37">
        <f>IF(341&lt;=KALKULATOR!$C$10,341,"")</f>
        <v/>
      </c>
      <c r="C349" s="38">
        <f>IF(341&lt;=KALKULATOR!$C$10,G348,"")</f>
        <v/>
      </c>
      <c r="D349" s="38">
        <f>IF(341&lt;=KALKULATOR!$C$10,KALKULATOR!$C$21,"")</f>
        <v/>
      </c>
      <c r="E349" s="38">
        <f>IF(341&lt;=KALKULATOR!$C$10,-C349*KALKULATOR!$C$9,"")</f>
        <v/>
      </c>
      <c r="F349" s="38">
        <f>IF(341&lt;=KALKULATOR!$C$10,D349-E349,"")</f>
        <v/>
      </c>
      <c r="G349" s="38">
        <f>IF(341&lt;=KALKULATOR!$C$10,C349+F349,"")</f>
        <v/>
      </c>
    </row>
    <row r="350">
      <c r="B350" s="37">
        <f>IF(342&lt;=KALKULATOR!$C$10,342,"")</f>
        <v/>
      </c>
      <c r="C350" s="38">
        <f>IF(342&lt;=KALKULATOR!$C$10,G349,"")</f>
        <v/>
      </c>
      <c r="D350" s="38">
        <f>IF(342&lt;=KALKULATOR!$C$10,KALKULATOR!$C$21,"")</f>
        <v/>
      </c>
      <c r="E350" s="38">
        <f>IF(342&lt;=KALKULATOR!$C$10,-C350*KALKULATOR!$C$9,"")</f>
        <v/>
      </c>
      <c r="F350" s="38">
        <f>IF(342&lt;=KALKULATOR!$C$10,D350-E350,"")</f>
        <v/>
      </c>
      <c r="G350" s="38">
        <f>IF(342&lt;=KALKULATOR!$C$10,C350+F350,"")</f>
        <v/>
      </c>
    </row>
    <row r="351">
      <c r="B351" s="37">
        <f>IF(343&lt;=KALKULATOR!$C$10,343,"")</f>
        <v/>
      </c>
      <c r="C351" s="38">
        <f>IF(343&lt;=KALKULATOR!$C$10,G350,"")</f>
        <v/>
      </c>
      <c r="D351" s="38">
        <f>IF(343&lt;=KALKULATOR!$C$10,KALKULATOR!$C$21,"")</f>
        <v/>
      </c>
      <c r="E351" s="38">
        <f>IF(343&lt;=KALKULATOR!$C$10,-C351*KALKULATOR!$C$9,"")</f>
        <v/>
      </c>
      <c r="F351" s="38">
        <f>IF(343&lt;=KALKULATOR!$C$10,D351-E351,"")</f>
        <v/>
      </c>
      <c r="G351" s="38">
        <f>IF(343&lt;=KALKULATOR!$C$10,C351+F351,"")</f>
        <v/>
      </c>
    </row>
    <row r="352">
      <c r="B352" s="37">
        <f>IF(344&lt;=KALKULATOR!$C$10,344,"")</f>
        <v/>
      </c>
      <c r="C352" s="38">
        <f>IF(344&lt;=KALKULATOR!$C$10,G351,"")</f>
        <v/>
      </c>
      <c r="D352" s="38">
        <f>IF(344&lt;=KALKULATOR!$C$10,KALKULATOR!$C$21,"")</f>
        <v/>
      </c>
      <c r="E352" s="38">
        <f>IF(344&lt;=KALKULATOR!$C$10,-C352*KALKULATOR!$C$9,"")</f>
        <v/>
      </c>
      <c r="F352" s="38">
        <f>IF(344&lt;=KALKULATOR!$C$10,D352-E352,"")</f>
        <v/>
      </c>
      <c r="G352" s="38">
        <f>IF(344&lt;=KALKULATOR!$C$10,C352+F352,"")</f>
        <v/>
      </c>
    </row>
    <row r="353">
      <c r="B353" s="37">
        <f>IF(345&lt;=KALKULATOR!$C$10,345,"")</f>
        <v/>
      </c>
      <c r="C353" s="38">
        <f>IF(345&lt;=KALKULATOR!$C$10,G352,"")</f>
        <v/>
      </c>
      <c r="D353" s="38">
        <f>IF(345&lt;=KALKULATOR!$C$10,KALKULATOR!$C$21,"")</f>
        <v/>
      </c>
      <c r="E353" s="38">
        <f>IF(345&lt;=KALKULATOR!$C$10,-C353*KALKULATOR!$C$9,"")</f>
        <v/>
      </c>
      <c r="F353" s="38">
        <f>IF(345&lt;=KALKULATOR!$C$10,D353-E353,"")</f>
        <v/>
      </c>
      <c r="G353" s="38">
        <f>IF(345&lt;=KALKULATOR!$C$10,C353+F353,"")</f>
        <v/>
      </c>
    </row>
    <row r="354">
      <c r="B354" s="37">
        <f>IF(346&lt;=KALKULATOR!$C$10,346,"")</f>
        <v/>
      </c>
      <c r="C354" s="38">
        <f>IF(346&lt;=KALKULATOR!$C$10,G353,"")</f>
        <v/>
      </c>
      <c r="D354" s="38">
        <f>IF(346&lt;=KALKULATOR!$C$10,KALKULATOR!$C$21,"")</f>
        <v/>
      </c>
      <c r="E354" s="38">
        <f>IF(346&lt;=KALKULATOR!$C$10,-C354*KALKULATOR!$C$9,"")</f>
        <v/>
      </c>
      <c r="F354" s="38">
        <f>IF(346&lt;=KALKULATOR!$C$10,D354-E354,"")</f>
        <v/>
      </c>
      <c r="G354" s="38">
        <f>IF(346&lt;=KALKULATOR!$C$10,C354+F354,"")</f>
        <v/>
      </c>
    </row>
    <row r="355">
      <c r="B355" s="37">
        <f>IF(347&lt;=KALKULATOR!$C$10,347,"")</f>
        <v/>
      </c>
      <c r="C355" s="38">
        <f>IF(347&lt;=KALKULATOR!$C$10,G354,"")</f>
        <v/>
      </c>
      <c r="D355" s="38">
        <f>IF(347&lt;=KALKULATOR!$C$10,KALKULATOR!$C$21,"")</f>
        <v/>
      </c>
      <c r="E355" s="38">
        <f>IF(347&lt;=KALKULATOR!$C$10,-C355*KALKULATOR!$C$9,"")</f>
        <v/>
      </c>
      <c r="F355" s="38">
        <f>IF(347&lt;=KALKULATOR!$C$10,D355-E355,"")</f>
        <v/>
      </c>
      <c r="G355" s="38">
        <f>IF(347&lt;=KALKULATOR!$C$10,C355+F355,"")</f>
        <v/>
      </c>
    </row>
    <row r="356">
      <c r="B356" s="37">
        <f>IF(348&lt;=KALKULATOR!$C$10,348,"")</f>
        <v/>
      </c>
      <c r="C356" s="38">
        <f>IF(348&lt;=KALKULATOR!$C$10,G355,"")</f>
        <v/>
      </c>
      <c r="D356" s="38">
        <f>IF(348&lt;=KALKULATOR!$C$10,KALKULATOR!$C$21,"")</f>
        <v/>
      </c>
      <c r="E356" s="38">
        <f>IF(348&lt;=KALKULATOR!$C$10,-C356*KALKULATOR!$C$9,"")</f>
        <v/>
      </c>
      <c r="F356" s="38">
        <f>IF(348&lt;=KALKULATOR!$C$10,D356-E356,"")</f>
        <v/>
      </c>
      <c r="G356" s="38">
        <f>IF(348&lt;=KALKULATOR!$C$10,C356+F356,"")</f>
        <v/>
      </c>
    </row>
    <row r="357">
      <c r="B357" s="37">
        <f>IF(349&lt;=KALKULATOR!$C$10,349,"")</f>
        <v/>
      </c>
      <c r="C357" s="38">
        <f>IF(349&lt;=KALKULATOR!$C$10,G356,"")</f>
        <v/>
      </c>
      <c r="D357" s="38">
        <f>IF(349&lt;=KALKULATOR!$C$10,KALKULATOR!$C$21,"")</f>
        <v/>
      </c>
      <c r="E357" s="38">
        <f>IF(349&lt;=KALKULATOR!$C$10,-C357*KALKULATOR!$C$9,"")</f>
        <v/>
      </c>
      <c r="F357" s="38">
        <f>IF(349&lt;=KALKULATOR!$C$10,D357-E357,"")</f>
        <v/>
      </c>
      <c r="G357" s="38">
        <f>IF(349&lt;=KALKULATOR!$C$10,C357+F357,"")</f>
        <v/>
      </c>
    </row>
    <row r="358">
      <c r="B358" s="37">
        <f>IF(350&lt;=KALKULATOR!$C$10,350,"")</f>
        <v/>
      </c>
      <c r="C358" s="38">
        <f>IF(350&lt;=KALKULATOR!$C$10,G357,"")</f>
        <v/>
      </c>
      <c r="D358" s="38">
        <f>IF(350&lt;=KALKULATOR!$C$10,KALKULATOR!$C$21,"")</f>
        <v/>
      </c>
      <c r="E358" s="38">
        <f>IF(350&lt;=KALKULATOR!$C$10,-C358*KALKULATOR!$C$9,"")</f>
        <v/>
      </c>
      <c r="F358" s="38">
        <f>IF(350&lt;=KALKULATOR!$C$10,D358-E358,"")</f>
        <v/>
      </c>
      <c r="G358" s="38">
        <f>IF(350&lt;=KALKULATOR!$C$10,C358+F358,"")</f>
        <v/>
      </c>
    </row>
    <row r="359">
      <c r="B359" s="37">
        <f>IF(351&lt;=KALKULATOR!$C$10,351,"")</f>
        <v/>
      </c>
      <c r="C359" s="38">
        <f>IF(351&lt;=KALKULATOR!$C$10,G358,"")</f>
        <v/>
      </c>
      <c r="D359" s="38">
        <f>IF(351&lt;=KALKULATOR!$C$10,KALKULATOR!$C$21,"")</f>
        <v/>
      </c>
      <c r="E359" s="38">
        <f>IF(351&lt;=KALKULATOR!$C$10,-C359*KALKULATOR!$C$9,"")</f>
        <v/>
      </c>
      <c r="F359" s="38">
        <f>IF(351&lt;=KALKULATOR!$C$10,D359-E359,"")</f>
        <v/>
      </c>
      <c r="G359" s="38">
        <f>IF(351&lt;=KALKULATOR!$C$10,C359+F359,"")</f>
        <v/>
      </c>
    </row>
    <row r="360">
      <c r="B360" s="37">
        <f>IF(352&lt;=KALKULATOR!$C$10,352,"")</f>
        <v/>
      </c>
      <c r="C360" s="38">
        <f>IF(352&lt;=KALKULATOR!$C$10,G359,"")</f>
        <v/>
      </c>
      <c r="D360" s="38">
        <f>IF(352&lt;=KALKULATOR!$C$10,KALKULATOR!$C$21,"")</f>
        <v/>
      </c>
      <c r="E360" s="38">
        <f>IF(352&lt;=KALKULATOR!$C$10,-C360*KALKULATOR!$C$9,"")</f>
        <v/>
      </c>
      <c r="F360" s="38">
        <f>IF(352&lt;=KALKULATOR!$C$10,D360-E360,"")</f>
        <v/>
      </c>
      <c r="G360" s="38">
        <f>IF(352&lt;=KALKULATOR!$C$10,C360+F360,"")</f>
        <v/>
      </c>
    </row>
    <row r="361">
      <c r="B361" s="37">
        <f>IF(353&lt;=KALKULATOR!$C$10,353,"")</f>
        <v/>
      </c>
      <c r="C361" s="38">
        <f>IF(353&lt;=KALKULATOR!$C$10,G360,"")</f>
        <v/>
      </c>
      <c r="D361" s="38">
        <f>IF(353&lt;=KALKULATOR!$C$10,KALKULATOR!$C$21,"")</f>
        <v/>
      </c>
      <c r="E361" s="38">
        <f>IF(353&lt;=KALKULATOR!$C$10,-C361*KALKULATOR!$C$9,"")</f>
        <v/>
      </c>
      <c r="F361" s="38">
        <f>IF(353&lt;=KALKULATOR!$C$10,D361-E361,"")</f>
        <v/>
      </c>
      <c r="G361" s="38">
        <f>IF(353&lt;=KALKULATOR!$C$10,C361+F361,"")</f>
        <v/>
      </c>
    </row>
    <row r="362">
      <c r="B362" s="37">
        <f>IF(354&lt;=KALKULATOR!$C$10,354,"")</f>
        <v/>
      </c>
      <c r="C362" s="38">
        <f>IF(354&lt;=KALKULATOR!$C$10,G361,"")</f>
        <v/>
      </c>
      <c r="D362" s="38">
        <f>IF(354&lt;=KALKULATOR!$C$10,KALKULATOR!$C$21,"")</f>
        <v/>
      </c>
      <c r="E362" s="38">
        <f>IF(354&lt;=KALKULATOR!$C$10,-C362*KALKULATOR!$C$9,"")</f>
        <v/>
      </c>
      <c r="F362" s="38">
        <f>IF(354&lt;=KALKULATOR!$C$10,D362-E362,"")</f>
        <v/>
      </c>
      <c r="G362" s="38">
        <f>IF(354&lt;=KALKULATOR!$C$10,C362+F362,"")</f>
        <v/>
      </c>
    </row>
    <row r="363">
      <c r="B363" s="37">
        <f>IF(355&lt;=KALKULATOR!$C$10,355,"")</f>
        <v/>
      </c>
      <c r="C363" s="38">
        <f>IF(355&lt;=KALKULATOR!$C$10,G362,"")</f>
        <v/>
      </c>
      <c r="D363" s="38">
        <f>IF(355&lt;=KALKULATOR!$C$10,KALKULATOR!$C$21,"")</f>
        <v/>
      </c>
      <c r="E363" s="38">
        <f>IF(355&lt;=KALKULATOR!$C$10,-C363*KALKULATOR!$C$9,"")</f>
        <v/>
      </c>
      <c r="F363" s="38">
        <f>IF(355&lt;=KALKULATOR!$C$10,D363-E363,"")</f>
        <v/>
      </c>
      <c r="G363" s="38">
        <f>IF(355&lt;=KALKULATOR!$C$10,C363+F363,"")</f>
        <v/>
      </c>
    </row>
    <row r="364">
      <c r="B364" s="37">
        <f>IF(356&lt;=KALKULATOR!$C$10,356,"")</f>
        <v/>
      </c>
      <c r="C364" s="38">
        <f>IF(356&lt;=KALKULATOR!$C$10,G363,"")</f>
        <v/>
      </c>
      <c r="D364" s="38">
        <f>IF(356&lt;=KALKULATOR!$C$10,KALKULATOR!$C$21,"")</f>
        <v/>
      </c>
      <c r="E364" s="38">
        <f>IF(356&lt;=KALKULATOR!$C$10,-C364*KALKULATOR!$C$9,"")</f>
        <v/>
      </c>
      <c r="F364" s="38">
        <f>IF(356&lt;=KALKULATOR!$C$10,D364-E364,"")</f>
        <v/>
      </c>
      <c r="G364" s="38">
        <f>IF(356&lt;=KALKULATOR!$C$10,C364+F364,"")</f>
        <v/>
      </c>
    </row>
    <row r="365">
      <c r="B365" s="37">
        <f>IF(357&lt;=KALKULATOR!$C$10,357,"")</f>
        <v/>
      </c>
      <c r="C365" s="38">
        <f>IF(357&lt;=KALKULATOR!$C$10,G364,"")</f>
        <v/>
      </c>
      <c r="D365" s="38">
        <f>IF(357&lt;=KALKULATOR!$C$10,KALKULATOR!$C$21,"")</f>
        <v/>
      </c>
      <c r="E365" s="38">
        <f>IF(357&lt;=KALKULATOR!$C$10,-C365*KALKULATOR!$C$9,"")</f>
        <v/>
      </c>
      <c r="F365" s="38">
        <f>IF(357&lt;=KALKULATOR!$C$10,D365-E365,"")</f>
        <v/>
      </c>
      <c r="G365" s="38">
        <f>IF(357&lt;=KALKULATOR!$C$10,C365+F365,"")</f>
        <v/>
      </c>
    </row>
    <row r="366">
      <c r="B366" s="37">
        <f>IF(358&lt;=KALKULATOR!$C$10,358,"")</f>
        <v/>
      </c>
      <c r="C366" s="38">
        <f>IF(358&lt;=KALKULATOR!$C$10,G365,"")</f>
        <v/>
      </c>
      <c r="D366" s="38">
        <f>IF(358&lt;=KALKULATOR!$C$10,KALKULATOR!$C$21,"")</f>
        <v/>
      </c>
      <c r="E366" s="38">
        <f>IF(358&lt;=KALKULATOR!$C$10,-C366*KALKULATOR!$C$9,"")</f>
        <v/>
      </c>
      <c r="F366" s="38">
        <f>IF(358&lt;=KALKULATOR!$C$10,D366-E366,"")</f>
        <v/>
      </c>
      <c r="G366" s="38">
        <f>IF(358&lt;=KALKULATOR!$C$10,C366+F366,"")</f>
        <v/>
      </c>
    </row>
    <row r="367">
      <c r="B367" s="37">
        <f>IF(359&lt;=KALKULATOR!$C$10,359,"")</f>
        <v/>
      </c>
      <c r="C367" s="38">
        <f>IF(359&lt;=KALKULATOR!$C$10,G366,"")</f>
        <v/>
      </c>
      <c r="D367" s="38">
        <f>IF(359&lt;=KALKULATOR!$C$10,KALKULATOR!$C$21,"")</f>
        <v/>
      </c>
      <c r="E367" s="38">
        <f>IF(359&lt;=KALKULATOR!$C$10,-C367*KALKULATOR!$C$9,"")</f>
        <v/>
      </c>
      <c r="F367" s="38">
        <f>IF(359&lt;=KALKULATOR!$C$10,D367-E367,"")</f>
        <v/>
      </c>
      <c r="G367" s="38">
        <f>IF(359&lt;=KALKULATOR!$C$10,C367+F367,"")</f>
        <v/>
      </c>
    </row>
    <row r="368">
      <c r="B368" s="37">
        <f>IF(360&lt;=KALKULATOR!$C$10,360,"")</f>
        <v/>
      </c>
      <c r="C368" s="38">
        <f>IF(360&lt;=KALKULATOR!$C$10,G367,"")</f>
        <v/>
      </c>
      <c r="D368" s="38">
        <f>IF(360&lt;=KALKULATOR!$C$10,KALKULATOR!$C$21,"")</f>
        <v/>
      </c>
      <c r="E368" s="38">
        <f>IF(360&lt;=KALKULATOR!$C$10,-C368*KALKULATOR!$C$9,"")</f>
        <v/>
      </c>
      <c r="F368" s="38">
        <f>IF(360&lt;=KALKULATOR!$C$10,D368-E368,"")</f>
        <v/>
      </c>
      <c r="G368" s="38">
        <f>IF(360&lt;=KALKULATOR!$C$10,C368+F368,"")</f>
        <v/>
      </c>
    </row>
    <row r="369">
      <c r="B369" s="37">
        <f>IF(361&lt;=KALKULATOR!$C$10,361,"")</f>
        <v/>
      </c>
      <c r="C369" s="38">
        <f>IF(361&lt;=KALKULATOR!$C$10,G368,"")</f>
        <v/>
      </c>
      <c r="D369" s="38">
        <f>IF(361&lt;=KALKULATOR!$C$10,KALKULATOR!$C$21,"")</f>
        <v/>
      </c>
      <c r="E369" s="38">
        <f>IF(361&lt;=KALKULATOR!$C$10,-C369*KALKULATOR!$C$9,"")</f>
        <v/>
      </c>
      <c r="F369" s="38">
        <f>IF(361&lt;=KALKULATOR!$C$10,D369-E369,"")</f>
        <v/>
      </c>
      <c r="G369" s="38">
        <f>IF(361&lt;=KALKULATOR!$C$10,C369+F369,"")</f>
        <v/>
      </c>
    </row>
    <row r="370">
      <c r="B370" s="37">
        <f>IF(362&lt;=KALKULATOR!$C$10,362,"")</f>
        <v/>
      </c>
      <c r="C370" s="38">
        <f>IF(362&lt;=KALKULATOR!$C$10,G369,"")</f>
        <v/>
      </c>
      <c r="D370" s="38">
        <f>IF(362&lt;=KALKULATOR!$C$10,KALKULATOR!$C$21,"")</f>
        <v/>
      </c>
      <c r="E370" s="38">
        <f>IF(362&lt;=KALKULATOR!$C$10,-C370*KALKULATOR!$C$9,"")</f>
        <v/>
      </c>
      <c r="F370" s="38">
        <f>IF(362&lt;=KALKULATOR!$C$10,D370-E370,"")</f>
        <v/>
      </c>
      <c r="G370" s="38">
        <f>IF(362&lt;=KALKULATOR!$C$10,C370+F370,"")</f>
        <v/>
      </c>
    </row>
    <row r="371">
      <c r="B371" s="37">
        <f>IF(363&lt;=KALKULATOR!$C$10,363,"")</f>
        <v/>
      </c>
      <c r="C371" s="38">
        <f>IF(363&lt;=KALKULATOR!$C$10,G370,"")</f>
        <v/>
      </c>
      <c r="D371" s="38">
        <f>IF(363&lt;=KALKULATOR!$C$10,KALKULATOR!$C$21,"")</f>
        <v/>
      </c>
      <c r="E371" s="38">
        <f>IF(363&lt;=KALKULATOR!$C$10,-C371*KALKULATOR!$C$9,"")</f>
        <v/>
      </c>
      <c r="F371" s="38">
        <f>IF(363&lt;=KALKULATOR!$C$10,D371-E371,"")</f>
        <v/>
      </c>
      <c r="G371" s="38">
        <f>IF(363&lt;=KALKULATOR!$C$10,C371+F371,"")</f>
        <v/>
      </c>
    </row>
    <row r="372">
      <c r="B372" s="37">
        <f>IF(364&lt;=KALKULATOR!$C$10,364,"")</f>
        <v/>
      </c>
      <c r="C372" s="38">
        <f>IF(364&lt;=KALKULATOR!$C$10,G371,"")</f>
        <v/>
      </c>
      <c r="D372" s="38">
        <f>IF(364&lt;=KALKULATOR!$C$10,KALKULATOR!$C$21,"")</f>
        <v/>
      </c>
      <c r="E372" s="38">
        <f>IF(364&lt;=KALKULATOR!$C$10,-C372*KALKULATOR!$C$9,"")</f>
        <v/>
      </c>
      <c r="F372" s="38">
        <f>IF(364&lt;=KALKULATOR!$C$10,D372-E372,"")</f>
        <v/>
      </c>
      <c r="G372" s="38">
        <f>IF(364&lt;=KALKULATOR!$C$10,C372+F372,"")</f>
        <v/>
      </c>
    </row>
    <row r="373">
      <c r="B373" s="37">
        <f>IF(365&lt;=KALKULATOR!$C$10,365,"")</f>
        <v/>
      </c>
      <c r="C373" s="38">
        <f>IF(365&lt;=KALKULATOR!$C$10,G372,"")</f>
        <v/>
      </c>
      <c r="D373" s="38">
        <f>IF(365&lt;=KALKULATOR!$C$10,KALKULATOR!$C$21,"")</f>
        <v/>
      </c>
      <c r="E373" s="38">
        <f>IF(365&lt;=KALKULATOR!$C$10,-C373*KALKULATOR!$C$9,"")</f>
        <v/>
      </c>
      <c r="F373" s="38">
        <f>IF(365&lt;=KALKULATOR!$C$10,D373-E373,"")</f>
        <v/>
      </c>
      <c r="G373" s="38">
        <f>IF(365&lt;=KALKULATOR!$C$10,C373+F373,"")</f>
        <v/>
      </c>
    </row>
    <row r="374">
      <c r="B374" s="37">
        <f>IF(366&lt;=KALKULATOR!$C$10,366,"")</f>
        <v/>
      </c>
      <c r="C374" s="38">
        <f>IF(366&lt;=KALKULATOR!$C$10,G373,"")</f>
        <v/>
      </c>
      <c r="D374" s="38">
        <f>IF(366&lt;=KALKULATOR!$C$10,KALKULATOR!$C$21,"")</f>
        <v/>
      </c>
      <c r="E374" s="38">
        <f>IF(366&lt;=KALKULATOR!$C$10,-C374*KALKULATOR!$C$9,"")</f>
        <v/>
      </c>
      <c r="F374" s="38">
        <f>IF(366&lt;=KALKULATOR!$C$10,D374-E374,"")</f>
        <v/>
      </c>
      <c r="G374" s="38">
        <f>IF(366&lt;=KALKULATOR!$C$10,C374+F374,"")</f>
        <v/>
      </c>
    </row>
    <row r="375">
      <c r="B375" s="37">
        <f>IF(367&lt;=KALKULATOR!$C$10,367,"")</f>
        <v/>
      </c>
      <c r="C375" s="38">
        <f>IF(367&lt;=KALKULATOR!$C$10,G374,"")</f>
        <v/>
      </c>
      <c r="D375" s="38">
        <f>IF(367&lt;=KALKULATOR!$C$10,KALKULATOR!$C$21,"")</f>
        <v/>
      </c>
      <c r="E375" s="38">
        <f>IF(367&lt;=KALKULATOR!$C$10,-C375*KALKULATOR!$C$9,"")</f>
        <v/>
      </c>
      <c r="F375" s="38">
        <f>IF(367&lt;=KALKULATOR!$C$10,D375-E375,"")</f>
        <v/>
      </c>
      <c r="G375" s="38">
        <f>IF(367&lt;=KALKULATOR!$C$10,C375+F375,"")</f>
        <v/>
      </c>
    </row>
    <row r="376">
      <c r="B376" s="37">
        <f>IF(368&lt;=KALKULATOR!$C$10,368,"")</f>
        <v/>
      </c>
      <c r="C376" s="38">
        <f>IF(368&lt;=KALKULATOR!$C$10,G375,"")</f>
        <v/>
      </c>
      <c r="D376" s="38">
        <f>IF(368&lt;=KALKULATOR!$C$10,KALKULATOR!$C$21,"")</f>
        <v/>
      </c>
      <c r="E376" s="38">
        <f>IF(368&lt;=KALKULATOR!$C$10,-C376*KALKULATOR!$C$9,"")</f>
        <v/>
      </c>
      <c r="F376" s="38">
        <f>IF(368&lt;=KALKULATOR!$C$10,D376-E376,"")</f>
        <v/>
      </c>
      <c r="G376" s="38">
        <f>IF(368&lt;=KALKULATOR!$C$10,C376+F376,"")</f>
        <v/>
      </c>
    </row>
    <row r="377">
      <c r="B377" s="37">
        <f>IF(369&lt;=KALKULATOR!$C$10,369,"")</f>
        <v/>
      </c>
      <c r="C377" s="38">
        <f>IF(369&lt;=KALKULATOR!$C$10,G376,"")</f>
        <v/>
      </c>
      <c r="D377" s="38">
        <f>IF(369&lt;=KALKULATOR!$C$10,KALKULATOR!$C$21,"")</f>
        <v/>
      </c>
      <c r="E377" s="38">
        <f>IF(369&lt;=KALKULATOR!$C$10,-C377*KALKULATOR!$C$9,"")</f>
        <v/>
      </c>
      <c r="F377" s="38">
        <f>IF(369&lt;=KALKULATOR!$C$10,D377-E377,"")</f>
        <v/>
      </c>
      <c r="G377" s="38">
        <f>IF(369&lt;=KALKULATOR!$C$10,C377+F377,"")</f>
        <v/>
      </c>
    </row>
    <row r="378">
      <c r="B378" s="37">
        <f>IF(370&lt;=KALKULATOR!$C$10,370,"")</f>
        <v/>
      </c>
      <c r="C378" s="38">
        <f>IF(370&lt;=KALKULATOR!$C$10,G377,"")</f>
        <v/>
      </c>
      <c r="D378" s="38">
        <f>IF(370&lt;=KALKULATOR!$C$10,KALKULATOR!$C$21,"")</f>
        <v/>
      </c>
      <c r="E378" s="38">
        <f>IF(370&lt;=KALKULATOR!$C$10,-C378*KALKULATOR!$C$9,"")</f>
        <v/>
      </c>
      <c r="F378" s="38">
        <f>IF(370&lt;=KALKULATOR!$C$10,D378-E378,"")</f>
        <v/>
      </c>
      <c r="G378" s="38">
        <f>IF(370&lt;=KALKULATOR!$C$10,C378+F378,"")</f>
        <v/>
      </c>
    </row>
    <row r="379">
      <c r="B379" s="37">
        <f>IF(371&lt;=KALKULATOR!$C$10,371,"")</f>
        <v/>
      </c>
      <c r="C379" s="38">
        <f>IF(371&lt;=KALKULATOR!$C$10,G378,"")</f>
        <v/>
      </c>
      <c r="D379" s="38">
        <f>IF(371&lt;=KALKULATOR!$C$10,KALKULATOR!$C$21,"")</f>
        <v/>
      </c>
      <c r="E379" s="38">
        <f>IF(371&lt;=KALKULATOR!$C$10,-C379*KALKULATOR!$C$9,"")</f>
        <v/>
      </c>
      <c r="F379" s="38">
        <f>IF(371&lt;=KALKULATOR!$C$10,D379-E379,"")</f>
        <v/>
      </c>
      <c r="G379" s="38">
        <f>IF(371&lt;=KALKULATOR!$C$10,C379+F379,"")</f>
        <v/>
      </c>
    </row>
    <row r="380">
      <c r="B380" s="37">
        <f>IF(372&lt;=KALKULATOR!$C$10,372,"")</f>
        <v/>
      </c>
      <c r="C380" s="38">
        <f>IF(372&lt;=KALKULATOR!$C$10,G379,"")</f>
        <v/>
      </c>
      <c r="D380" s="38">
        <f>IF(372&lt;=KALKULATOR!$C$10,KALKULATOR!$C$21,"")</f>
        <v/>
      </c>
      <c r="E380" s="38">
        <f>IF(372&lt;=KALKULATOR!$C$10,-C380*KALKULATOR!$C$9,"")</f>
        <v/>
      </c>
      <c r="F380" s="38">
        <f>IF(372&lt;=KALKULATOR!$C$10,D380-E380,"")</f>
        <v/>
      </c>
      <c r="G380" s="38">
        <f>IF(372&lt;=KALKULATOR!$C$10,C380+F380,"")</f>
        <v/>
      </c>
    </row>
    <row r="381">
      <c r="B381" s="37">
        <f>IF(373&lt;=KALKULATOR!$C$10,373,"")</f>
        <v/>
      </c>
      <c r="C381" s="38">
        <f>IF(373&lt;=KALKULATOR!$C$10,G380,"")</f>
        <v/>
      </c>
      <c r="D381" s="38">
        <f>IF(373&lt;=KALKULATOR!$C$10,KALKULATOR!$C$21,"")</f>
        <v/>
      </c>
      <c r="E381" s="38">
        <f>IF(373&lt;=KALKULATOR!$C$10,-C381*KALKULATOR!$C$9,"")</f>
        <v/>
      </c>
      <c r="F381" s="38">
        <f>IF(373&lt;=KALKULATOR!$C$10,D381-E381,"")</f>
        <v/>
      </c>
      <c r="G381" s="38">
        <f>IF(373&lt;=KALKULATOR!$C$10,C381+F381,"")</f>
        <v/>
      </c>
    </row>
    <row r="382">
      <c r="B382" s="37">
        <f>IF(374&lt;=KALKULATOR!$C$10,374,"")</f>
        <v/>
      </c>
      <c r="C382" s="38">
        <f>IF(374&lt;=KALKULATOR!$C$10,G381,"")</f>
        <v/>
      </c>
      <c r="D382" s="38">
        <f>IF(374&lt;=KALKULATOR!$C$10,KALKULATOR!$C$21,"")</f>
        <v/>
      </c>
      <c r="E382" s="38">
        <f>IF(374&lt;=KALKULATOR!$C$10,-C382*KALKULATOR!$C$9,"")</f>
        <v/>
      </c>
      <c r="F382" s="38">
        <f>IF(374&lt;=KALKULATOR!$C$10,D382-E382,"")</f>
        <v/>
      </c>
      <c r="G382" s="38">
        <f>IF(374&lt;=KALKULATOR!$C$10,C382+F382,"")</f>
        <v/>
      </c>
    </row>
    <row r="383">
      <c r="B383" s="37">
        <f>IF(375&lt;=KALKULATOR!$C$10,375,"")</f>
        <v/>
      </c>
      <c r="C383" s="38">
        <f>IF(375&lt;=KALKULATOR!$C$10,G382,"")</f>
        <v/>
      </c>
      <c r="D383" s="38">
        <f>IF(375&lt;=KALKULATOR!$C$10,KALKULATOR!$C$21,"")</f>
        <v/>
      </c>
      <c r="E383" s="38">
        <f>IF(375&lt;=KALKULATOR!$C$10,-C383*KALKULATOR!$C$9,"")</f>
        <v/>
      </c>
      <c r="F383" s="38">
        <f>IF(375&lt;=KALKULATOR!$C$10,D383-E383,"")</f>
        <v/>
      </c>
      <c r="G383" s="38">
        <f>IF(375&lt;=KALKULATOR!$C$10,C383+F383,"")</f>
        <v/>
      </c>
    </row>
    <row r="384">
      <c r="B384" s="37">
        <f>IF(376&lt;=KALKULATOR!$C$10,376,"")</f>
        <v/>
      </c>
      <c r="C384" s="38">
        <f>IF(376&lt;=KALKULATOR!$C$10,G383,"")</f>
        <v/>
      </c>
      <c r="D384" s="38">
        <f>IF(376&lt;=KALKULATOR!$C$10,KALKULATOR!$C$21,"")</f>
        <v/>
      </c>
      <c r="E384" s="38">
        <f>IF(376&lt;=KALKULATOR!$C$10,-C384*KALKULATOR!$C$9,"")</f>
        <v/>
      </c>
      <c r="F384" s="38">
        <f>IF(376&lt;=KALKULATOR!$C$10,D384-E384,"")</f>
        <v/>
      </c>
      <c r="G384" s="38">
        <f>IF(376&lt;=KALKULATOR!$C$10,C384+F384,"")</f>
        <v/>
      </c>
    </row>
    <row r="385">
      <c r="B385" s="37">
        <f>IF(377&lt;=KALKULATOR!$C$10,377,"")</f>
        <v/>
      </c>
      <c r="C385" s="38">
        <f>IF(377&lt;=KALKULATOR!$C$10,G384,"")</f>
        <v/>
      </c>
      <c r="D385" s="38">
        <f>IF(377&lt;=KALKULATOR!$C$10,KALKULATOR!$C$21,"")</f>
        <v/>
      </c>
      <c r="E385" s="38">
        <f>IF(377&lt;=KALKULATOR!$C$10,-C385*KALKULATOR!$C$9,"")</f>
        <v/>
      </c>
      <c r="F385" s="38">
        <f>IF(377&lt;=KALKULATOR!$C$10,D385-E385,"")</f>
        <v/>
      </c>
      <c r="G385" s="38">
        <f>IF(377&lt;=KALKULATOR!$C$10,C385+F385,"")</f>
        <v/>
      </c>
    </row>
    <row r="386">
      <c r="B386" s="37">
        <f>IF(378&lt;=KALKULATOR!$C$10,378,"")</f>
        <v/>
      </c>
      <c r="C386" s="38">
        <f>IF(378&lt;=KALKULATOR!$C$10,G385,"")</f>
        <v/>
      </c>
      <c r="D386" s="38">
        <f>IF(378&lt;=KALKULATOR!$C$10,KALKULATOR!$C$21,"")</f>
        <v/>
      </c>
      <c r="E386" s="38">
        <f>IF(378&lt;=KALKULATOR!$C$10,-C386*KALKULATOR!$C$9,"")</f>
        <v/>
      </c>
      <c r="F386" s="38">
        <f>IF(378&lt;=KALKULATOR!$C$10,D386-E386,"")</f>
        <v/>
      </c>
      <c r="G386" s="38">
        <f>IF(378&lt;=KALKULATOR!$C$10,C386+F386,"")</f>
        <v/>
      </c>
    </row>
    <row r="387">
      <c r="B387" s="37">
        <f>IF(379&lt;=KALKULATOR!$C$10,379,"")</f>
        <v/>
      </c>
      <c r="C387" s="38">
        <f>IF(379&lt;=KALKULATOR!$C$10,G386,"")</f>
        <v/>
      </c>
      <c r="D387" s="38">
        <f>IF(379&lt;=KALKULATOR!$C$10,KALKULATOR!$C$21,"")</f>
        <v/>
      </c>
      <c r="E387" s="38">
        <f>IF(379&lt;=KALKULATOR!$C$10,-C387*KALKULATOR!$C$9,"")</f>
        <v/>
      </c>
      <c r="F387" s="38">
        <f>IF(379&lt;=KALKULATOR!$C$10,D387-E387,"")</f>
        <v/>
      </c>
      <c r="G387" s="38">
        <f>IF(379&lt;=KALKULATOR!$C$10,C387+F387,"")</f>
        <v/>
      </c>
    </row>
    <row r="388">
      <c r="B388" s="37">
        <f>IF(380&lt;=KALKULATOR!$C$10,380,"")</f>
        <v/>
      </c>
      <c r="C388" s="38">
        <f>IF(380&lt;=KALKULATOR!$C$10,G387,"")</f>
        <v/>
      </c>
      <c r="D388" s="38">
        <f>IF(380&lt;=KALKULATOR!$C$10,KALKULATOR!$C$21,"")</f>
        <v/>
      </c>
      <c r="E388" s="38">
        <f>IF(380&lt;=KALKULATOR!$C$10,-C388*KALKULATOR!$C$9,"")</f>
        <v/>
      </c>
      <c r="F388" s="38">
        <f>IF(380&lt;=KALKULATOR!$C$10,D388-E388,"")</f>
        <v/>
      </c>
      <c r="G388" s="38">
        <f>IF(380&lt;=KALKULATOR!$C$10,C388+F388,"")</f>
        <v/>
      </c>
    </row>
    <row r="389">
      <c r="B389" s="37">
        <f>IF(381&lt;=KALKULATOR!$C$10,381,"")</f>
        <v/>
      </c>
      <c r="C389" s="38">
        <f>IF(381&lt;=KALKULATOR!$C$10,G388,"")</f>
        <v/>
      </c>
      <c r="D389" s="38">
        <f>IF(381&lt;=KALKULATOR!$C$10,KALKULATOR!$C$21,"")</f>
        <v/>
      </c>
      <c r="E389" s="38">
        <f>IF(381&lt;=KALKULATOR!$C$10,-C389*KALKULATOR!$C$9,"")</f>
        <v/>
      </c>
      <c r="F389" s="38">
        <f>IF(381&lt;=KALKULATOR!$C$10,D389-E389,"")</f>
        <v/>
      </c>
      <c r="G389" s="38">
        <f>IF(381&lt;=KALKULATOR!$C$10,C389+F389,"")</f>
        <v/>
      </c>
    </row>
    <row r="390">
      <c r="B390" s="37">
        <f>IF(382&lt;=KALKULATOR!$C$10,382,"")</f>
        <v/>
      </c>
      <c r="C390" s="38">
        <f>IF(382&lt;=KALKULATOR!$C$10,G389,"")</f>
        <v/>
      </c>
      <c r="D390" s="38">
        <f>IF(382&lt;=KALKULATOR!$C$10,KALKULATOR!$C$21,"")</f>
        <v/>
      </c>
      <c r="E390" s="38">
        <f>IF(382&lt;=KALKULATOR!$C$10,-C390*KALKULATOR!$C$9,"")</f>
        <v/>
      </c>
      <c r="F390" s="38">
        <f>IF(382&lt;=KALKULATOR!$C$10,D390-E390,"")</f>
        <v/>
      </c>
      <c r="G390" s="38">
        <f>IF(382&lt;=KALKULATOR!$C$10,C390+F390,"")</f>
        <v/>
      </c>
    </row>
    <row r="391">
      <c r="B391" s="37">
        <f>IF(383&lt;=KALKULATOR!$C$10,383,"")</f>
        <v/>
      </c>
      <c r="C391" s="38">
        <f>IF(383&lt;=KALKULATOR!$C$10,G390,"")</f>
        <v/>
      </c>
      <c r="D391" s="38">
        <f>IF(383&lt;=KALKULATOR!$C$10,KALKULATOR!$C$21,"")</f>
        <v/>
      </c>
      <c r="E391" s="38">
        <f>IF(383&lt;=KALKULATOR!$C$10,-C391*KALKULATOR!$C$9,"")</f>
        <v/>
      </c>
      <c r="F391" s="38">
        <f>IF(383&lt;=KALKULATOR!$C$10,D391-E391,"")</f>
        <v/>
      </c>
      <c r="G391" s="38">
        <f>IF(383&lt;=KALKULATOR!$C$10,C391+F391,"")</f>
        <v/>
      </c>
    </row>
    <row r="392">
      <c r="B392" s="37">
        <f>IF(384&lt;=KALKULATOR!$C$10,384,"")</f>
        <v/>
      </c>
      <c r="C392" s="38">
        <f>IF(384&lt;=KALKULATOR!$C$10,G391,"")</f>
        <v/>
      </c>
      <c r="D392" s="38">
        <f>IF(384&lt;=KALKULATOR!$C$10,KALKULATOR!$C$21,"")</f>
        <v/>
      </c>
      <c r="E392" s="38">
        <f>IF(384&lt;=KALKULATOR!$C$10,-C392*KALKULATOR!$C$9,"")</f>
        <v/>
      </c>
      <c r="F392" s="38">
        <f>IF(384&lt;=KALKULATOR!$C$10,D392-E392,"")</f>
        <v/>
      </c>
      <c r="G392" s="38">
        <f>IF(384&lt;=KALKULATOR!$C$10,C392+F392,"")</f>
        <v/>
      </c>
    </row>
    <row r="393">
      <c r="B393" s="37">
        <f>IF(385&lt;=KALKULATOR!$C$10,385,"")</f>
        <v/>
      </c>
      <c r="C393" s="38">
        <f>IF(385&lt;=KALKULATOR!$C$10,G392,"")</f>
        <v/>
      </c>
      <c r="D393" s="38">
        <f>IF(385&lt;=KALKULATOR!$C$10,KALKULATOR!$C$21,"")</f>
        <v/>
      </c>
      <c r="E393" s="38">
        <f>IF(385&lt;=KALKULATOR!$C$10,-C393*KALKULATOR!$C$9,"")</f>
        <v/>
      </c>
      <c r="F393" s="38">
        <f>IF(385&lt;=KALKULATOR!$C$10,D393-E393,"")</f>
        <v/>
      </c>
      <c r="G393" s="38">
        <f>IF(385&lt;=KALKULATOR!$C$10,C393+F393,"")</f>
        <v/>
      </c>
    </row>
    <row r="394">
      <c r="B394" s="37">
        <f>IF(386&lt;=KALKULATOR!$C$10,386,"")</f>
        <v/>
      </c>
      <c r="C394" s="38">
        <f>IF(386&lt;=KALKULATOR!$C$10,G393,"")</f>
        <v/>
      </c>
      <c r="D394" s="38">
        <f>IF(386&lt;=KALKULATOR!$C$10,KALKULATOR!$C$21,"")</f>
        <v/>
      </c>
      <c r="E394" s="38">
        <f>IF(386&lt;=KALKULATOR!$C$10,-C394*KALKULATOR!$C$9,"")</f>
        <v/>
      </c>
      <c r="F394" s="38">
        <f>IF(386&lt;=KALKULATOR!$C$10,D394-E394,"")</f>
        <v/>
      </c>
      <c r="G394" s="38">
        <f>IF(386&lt;=KALKULATOR!$C$10,C394+F394,"")</f>
        <v/>
      </c>
    </row>
    <row r="395">
      <c r="B395" s="37">
        <f>IF(387&lt;=KALKULATOR!$C$10,387,"")</f>
        <v/>
      </c>
      <c r="C395" s="38">
        <f>IF(387&lt;=KALKULATOR!$C$10,G394,"")</f>
        <v/>
      </c>
      <c r="D395" s="38">
        <f>IF(387&lt;=KALKULATOR!$C$10,KALKULATOR!$C$21,"")</f>
        <v/>
      </c>
      <c r="E395" s="38">
        <f>IF(387&lt;=KALKULATOR!$C$10,-C395*KALKULATOR!$C$9,"")</f>
        <v/>
      </c>
      <c r="F395" s="38">
        <f>IF(387&lt;=KALKULATOR!$C$10,D395-E395,"")</f>
        <v/>
      </c>
      <c r="G395" s="38">
        <f>IF(387&lt;=KALKULATOR!$C$10,C395+F395,"")</f>
        <v/>
      </c>
    </row>
    <row r="396">
      <c r="B396" s="37">
        <f>IF(388&lt;=KALKULATOR!$C$10,388,"")</f>
        <v/>
      </c>
      <c r="C396" s="38">
        <f>IF(388&lt;=KALKULATOR!$C$10,G395,"")</f>
        <v/>
      </c>
      <c r="D396" s="38">
        <f>IF(388&lt;=KALKULATOR!$C$10,KALKULATOR!$C$21,"")</f>
        <v/>
      </c>
      <c r="E396" s="38">
        <f>IF(388&lt;=KALKULATOR!$C$10,-C396*KALKULATOR!$C$9,"")</f>
        <v/>
      </c>
      <c r="F396" s="38">
        <f>IF(388&lt;=KALKULATOR!$C$10,D396-E396,"")</f>
        <v/>
      </c>
      <c r="G396" s="38">
        <f>IF(388&lt;=KALKULATOR!$C$10,C396+F396,"")</f>
        <v/>
      </c>
    </row>
    <row r="397">
      <c r="B397" s="37">
        <f>IF(389&lt;=KALKULATOR!$C$10,389,"")</f>
        <v/>
      </c>
      <c r="C397" s="38">
        <f>IF(389&lt;=KALKULATOR!$C$10,G396,"")</f>
        <v/>
      </c>
      <c r="D397" s="38">
        <f>IF(389&lt;=KALKULATOR!$C$10,KALKULATOR!$C$21,"")</f>
        <v/>
      </c>
      <c r="E397" s="38">
        <f>IF(389&lt;=KALKULATOR!$C$10,-C397*KALKULATOR!$C$9,"")</f>
        <v/>
      </c>
      <c r="F397" s="38">
        <f>IF(389&lt;=KALKULATOR!$C$10,D397-E397,"")</f>
        <v/>
      </c>
      <c r="G397" s="38">
        <f>IF(389&lt;=KALKULATOR!$C$10,C397+F397,"")</f>
        <v/>
      </c>
    </row>
    <row r="398">
      <c r="B398" s="37">
        <f>IF(390&lt;=KALKULATOR!$C$10,390,"")</f>
        <v/>
      </c>
      <c r="C398" s="38">
        <f>IF(390&lt;=KALKULATOR!$C$10,G397,"")</f>
        <v/>
      </c>
      <c r="D398" s="38">
        <f>IF(390&lt;=KALKULATOR!$C$10,KALKULATOR!$C$21,"")</f>
        <v/>
      </c>
      <c r="E398" s="38">
        <f>IF(390&lt;=KALKULATOR!$C$10,-C398*KALKULATOR!$C$9,"")</f>
        <v/>
      </c>
      <c r="F398" s="38">
        <f>IF(390&lt;=KALKULATOR!$C$10,D398-E398,"")</f>
        <v/>
      </c>
      <c r="G398" s="38">
        <f>IF(390&lt;=KALKULATOR!$C$10,C398+F398,"")</f>
        <v/>
      </c>
    </row>
    <row r="399">
      <c r="B399" s="37">
        <f>IF(391&lt;=KALKULATOR!$C$10,391,"")</f>
        <v/>
      </c>
      <c r="C399" s="38">
        <f>IF(391&lt;=KALKULATOR!$C$10,G398,"")</f>
        <v/>
      </c>
      <c r="D399" s="38">
        <f>IF(391&lt;=KALKULATOR!$C$10,KALKULATOR!$C$21,"")</f>
        <v/>
      </c>
      <c r="E399" s="38">
        <f>IF(391&lt;=KALKULATOR!$C$10,-C399*KALKULATOR!$C$9,"")</f>
        <v/>
      </c>
      <c r="F399" s="38">
        <f>IF(391&lt;=KALKULATOR!$C$10,D399-E399,"")</f>
        <v/>
      </c>
      <c r="G399" s="38">
        <f>IF(391&lt;=KALKULATOR!$C$10,C399+F399,"")</f>
        <v/>
      </c>
    </row>
    <row r="400">
      <c r="B400" s="37">
        <f>IF(392&lt;=KALKULATOR!$C$10,392,"")</f>
        <v/>
      </c>
      <c r="C400" s="38">
        <f>IF(392&lt;=KALKULATOR!$C$10,G399,"")</f>
        <v/>
      </c>
      <c r="D400" s="38">
        <f>IF(392&lt;=KALKULATOR!$C$10,KALKULATOR!$C$21,"")</f>
        <v/>
      </c>
      <c r="E400" s="38">
        <f>IF(392&lt;=KALKULATOR!$C$10,-C400*KALKULATOR!$C$9,"")</f>
        <v/>
      </c>
      <c r="F400" s="38">
        <f>IF(392&lt;=KALKULATOR!$C$10,D400-E400,"")</f>
        <v/>
      </c>
      <c r="G400" s="38">
        <f>IF(392&lt;=KALKULATOR!$C$10,C400+F400,"")</f>
        <v/>
      </c>
    </row>
    <row r="401">
      <c r="B401" s="37">
        <f>IF(393&lt;=KALKULATOR!$C$10,393,"")</f>
        <v/>
      </c>
      <c r="C401" s="38">
        <f>IF(393&lt;=KALKULATOR!$C$10,G400,"")</f>
        <v/>
      </c>
      <c r="D401" s="38">
        <f>IF(393&lt;=KALKULATOR!$C$10,KALKULATOR!$C$21,"")</f>
        <v/>
      </c>
      <c r="E401" s="38">
        <f>IF(393&lt;=KALKULATOR!$C$10,-C401*KALKULATOR!$C$9,"")</f>
        <v/>
      </c>
      <c r="F401" s="38">
        <f>IF(393&lt;=KALKULATOR!$C$10,D401-E401,"")</f>
        <v/>
      </c>
      <c r="G401" s="38">
        <f>IF(393&lt;=KALKULATOR!$C$10,C401+F401,"")</f>
        <v/>
      </c>
    </row>
    <row r="402">
      <c r="B402" s="37">
        <f>IF(394&lt;=KALKULATOR!$C$10,394,"")</f>
        <v/>
      </c>
      <c r="C402" s="38">
        <f>IF(394&lt;=KALKULATOR!$C$10,G401,"")</f>
        <v/>
      </c>
      <c r="D402" s="38">
        <f>IF(394&lt;=KALKULATOR!$C$10,KALKULATOR!$C$21,"")</f>
        <v/>
      </c>
      <c r="E402" s="38">
        <f>IF(394&lt;=KALKULATOR!$C$10,-C402*KALKULATOR!$C$9,"")</f>
        <v/>
      </c>
      <c r="F402" s="38">
        <f>IF(394&lt;=KALKULATOR!$C$10,D402-E402,"")</f>
        <v/>
      </c>
      <c r="G402" s="38">
        <f>IF(394&lt;=KALKULATOR!$C$10,C402+F402,"")</f>
        <v/>
      </c>
    </row>
    <row r="403">
      <c r="B403" s="37">
        <f>IF(395&lt;=KALKULATOR!$C$10,395,"")</f>
        <v/>
      </c>
      <c r="C403" s="38">
        <f>IF(395&lt;=KALKULATOR!$C$10,G402,"")</f>
        <v/>
      </c>
      <c r="D403" s="38">
        <f>IF(395&lt;=KALKULATOR!$C$10,KALKULATOR!$C$21,"")</f>
        <v/>
      </c>
      <c r="E403" s="38">
        <f>IF(395&lt;=KALKULATOR!$C$10,-C403*KALKULATOR!$C$9,"")</f>
        <v/>
      </c>
      <c r="F403" s="38">
        <f>IF(395&lt;=KALKULATOR!$C$10,D403-E403,"")</f>
        <v/>
      </c>
      <c r="G403" s="38">
        <f>IF(395&lt;=KALKULATOR!$C$10,C403+F403,"")</f>
        <v/>
      </c>
    </row>
    <row r="404">
      <c r="B404" s="37">
        <f>IF(396&lt;=KALKULATOR!$C$10,396,"")</f>
        <v/>
      </c>
      <c r="C404" s="38">
        <f>IF(396&lt;=KALKULATOR!$C$10,G403,"")</f>
        <v/>
      </c>
      <c r="D404" s="38">
        <f>IF(396&lt;=KALKULATOR!$C$10,KALKULATOR!$C$21,"")</f>
        <v/>
      </c>
      <c r="E404" s="38">
        <f>IF(396&lt;=KALKULATOR!$C$10,-C404*KALKULATOR!$C$9,"")</f>
        <v/>
      </c>
      <c r="F404" s="38">
        <f>IF(396&lt;=KALKULATOR!$C$10,D404-E404,"")</f>
        <v/>
      </c>
      <c r="G404" s="38">
        <f>IF(396&lt;=KALKULATOR!$C$10,C404+F404,"")</f>
        <v/>
      </c>
    </row>
    <row r="405">
      <c r="B405" s="37">
        <f>IF(397&lt;=KALKULATOR!$C$10,397,"")</f>
        <v/>
      </c>
      <c r="C405" s="38">
        <f>IF(397&lt;=KALKULATOR!$C$10,G404,"")</f>
        <v/>
      </c>
      <c r="D405" s="38">
        <f>IF(397&lt;=KALKULATOR!$C$10,KALKULATOR!$C$21,"")</f>
        <v/>
      </c>
      <c r="E405" s="38">
        <f>IF(397&lt;=KALKULATOR!$C$10,-C405*KALKULATOR!$C$9,"")</f>
        <v/>
      </c>
      <c r="F405" s="38">
        <f>IF(397&lt;=KALKULATOR!$C$10,D405-E405,"")</f>
        <v/>
      </c>
      <c r="G405" s="38">
        <f>IF(397&lt;=KALKULATOR!$C$10,C405+F405,"")</f>
        <v/>
      </c>
    </row>
    <row r="406">
      <c r="B406" s="37">
        <f>IF(398&lt;=KALKULATOR!$C$10,398,"")</f>
        <v/>
      </c>
      <c r="C406" s="38">
        <f>IF(398&lt;=KALKULATOR!$C$10,G405,"")</f>
        <v/>
      </c>
      <c r="D406" s="38">
        <f>IF(398&lt;=KALKULATOR!$C$10,KALKULATOR!$C$21,"")</f>
        <v/>
      </c>
      <c r="E406" s="38">
        <f>IF(398&lt;=KALKULATOR!$C$10,-C406*KALKULATOR!$C$9,"")</f>
        <v/>
      </c>
      <c r="F406" s="38">
        <f>IF(398&lt;=KALKULATOR!$C$10,D406-E406,"")</f>
        <v/>
      </c>
      <c r="G406" s="38">
        <f>IF(398&lt;=KALKULATOR!$C$10,C406+F406,"")</f>
        <v/>
      </c>
    </row>
    <row r="407">
      <c r="B407" s="37">
        <f>IF(399&lt;=KALKULATOR!$C$10,399,"")</f>
        <v/>
      </c>
      <c r="C407" s="38">
        <f>IF(399&lt;=KALKULATOR!$C$10,G406,"")</f>
        <v/>
      </c>
      <c r="D407" s="38">
        <f>IF(399&lt;=KALKULATOR!$C$10,KALKULATOR!$C$21,"")</f>
        <v/>
      </c>
      <c r="E407" s="38">
        <f>IF(399&lt;=KALKULATOR!$C$10,-C407*KALKULATOR!$C$9,"")</f>
        <v/>
      </c>
      <c r="F407" s="38">
        <f>IF(399&lt;=KALKULATOR!$C$10,D407-E407,"")</f>
        <v/>
      </c>
      <c r="G407" s="38">
        <f>IF(399&lt;=KALKULATOR!$C$10,C407+F407,"")</f>
        <v/>
      </c>
    </row>
    <row r="408">
      <c r="B408" s="37">
        <f>IF(400&lt;=KALKULATOR!$C$10,400,"")</f>
        <v/>
      </c>
      <c r="C408" s="38">
        <f>IF(400&lt;=KALKULATOR!$C$10,G407,"")</f>
        <v/>
      </c>
      <c r="D408" s="38">
        <f>IF(400&lt;=KALKULATOR!$C$10,KALKULATOR!$C$21,"")</f>
        <v/>
      </c>
      <c r="E408" s="38">
        <f>IF(400&lt;=KALKULATOR!$C$10,-C408*KALKULATOR!$C$9,"")</f>
        <v/>
      </c>
      <c r="F408" s="38">
        <f>IF(400&lt;=KALKULATOR!$C$10,D408-E408,"")</f>
        <v/>
      </c>
      <c r="G408" s="38">
        <f>IF(400&lt;=KALKULATOR!$C$10,C408+F408,"")</f>
        <v/>
      </c>
    </row>
    <row r="409" ht="22" customHeight="1">
      <c r="B409" s="8" t="inlineStr">
        <is>
          <t>TOTAL</t>
        </is>
      </c>
      <c r="C409" s="39" t="inlineStr"/>
      <c r="D409" s="40">
        <f>SUM(D9:D408)</f>
        <v/>
      </c>
      <c r="E409" s="40">
        <f>SUM(E9:E408)</f>
        <v/>
      </c>
      <c r="F409" s="40">
        <f>SUM(F9:F408)</f>
        <v/>
      </c>
      <c r="G409" s="39" t="inlineStr"/>
    </row>
    <row r="411">
      <c r="B411" s="6" t="inlineStr">
        <is>
          <t>CEK:</t>
        </is>
      </c>
    </row>
    <row r="412">
      <c r="B412" s="5" t="inlineStr">
        <is>
          <t xml:space="preserve">  Total Pokok vs PV</t>
        </is>
      </c>
      <c r="C412" s="38">
        <f>F409-KALKULATOR!$C$6</f>
        <v/>
      </c>
      <c r="D412" s="41">
        <f>IF(ABS(C412)&lt;0.01,"✓ COCOK","✗ SELISIH")</f>
        <v/>
      </c>
      <c r="E412" s="14" t="inlineStr">
        <is>
          <t>Harus ~0 (selisih pembulatan).</t>
        </is>
      </c>
    </row>
  </sheetData>
  <mergeCells count="5">
    <mergeCell ref="B3:G3"/>
    <mergeCell ref="B2:G2"/>
    <mergeCell ref="F5:G5"/>
    <mergeCell ref="F6:G6"/>
    <mergeCell ref="E412:G4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2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42" customWidth="1" min="7" max="7"/>
  </cols>
  <sheetData>
    <row r="2" ht="28" customHeight="1">
      <c r="B2" s="1" t="inlineStr">
        <is>
          <t>PERBANDINGAN COMPOUNDING + KONVERSI EAR</t>
        </is>
      </c>
    </row>
    <row r="3">
      <c r="B3" s="2" t="inlineStr">
        <is>
          <t>Bunga nominal sama, frekuensi beda → hasil beda. Tahunan vs semi vs bulanan vs kontinu.</t>
        </is>
      </c>
    </row>
    <row r="5">
      <c r="B5" s="8" t="inlineStr">
        <is>
          <t>INPUT</t>
        </is>
      </c>
      <c r="C5" s="8" t="inlineStr">
        <is>
          <t>Nilai</t>
        </is>
      </c>
      <c r="D5" s="8" t="inlineStr">
        <is>
          <t>Satuan</t>
        </is>
      </c>
      <c r="F5" s="8" t="inlineStr">
        <is>
          <t>Catatan</t>
        </is>
      </c>
    </row>
    <row r="6">
      <c r="B6" s="11" t="inlineStr">
        <is>
          <t>PV (modal awal)</t>
        </is>
      </c>
      <c r="C6" s="12" t="n">
        <v>100</v>
      </c>
      <c r="D6" s="13" t="inlineStr">
        <is>
          <t>Rp jt</t>
        </is>
      </c>
      <c r="F6" s="14" t="inlineStr">
        <is>
          <t>Default Rp 100 jt (sesuai artikel).</t>
        </is>
      </c>
    </row>
    <row r="7">
      <c r="B7" s="11" t="inlineStr">
        <is>
          <t>Suku bunga NOMINAL (APY)</t>
        </is>
      </c>
      <c r="C7" s="42" t="n">
        <v>0.12</v>
      </c>
      <c r="D7" s="13" t="inlineStr">
        <is>
          <t>% / thn</t>
        </is>
      </c>
      <c r="F7" s="14" t="inlineStr">
        <is>
          <t>Default 12% (sesuai contoh artikel).</t>
        </is>
      </c>
    </row>
    <row r="8">
      <c r="B8" s="11" t="inlineStr">
        <is>
          <t>Horizon (tahun)</t>
        </is>
      </c>
      <c r="C8" s="16" t="n">
        <v>1</v>
      </c>
      <c r="D8" s="13" t="inlineStr">
        <is>
          <t>tahun</t>
        </is>
      </c>
      <c r="F8" s="14" t="inlineStr">
        <is>
          <t>Default 1 tahun (bisa ubah ke 5/10/20).</t>
        </is>
      </c>
    </row>
    <row r="10" ht="22" customHeight="1">
      <c r="B10" s="8" t="inlineStr">
        <is>
          <t>Skema</t>
        </is>
      </c>
      <c r="C10" s="8" t="inlineStr">
        <is>
          <t>m (per/thn)</t>
        </is>
      </c>
      <c r="D10" s="8" t="inlineStr">
        <is>
          <t>FV (Rp jt)</t>
        </is>
      </c>
      <c r="E10" s="8" t="inlineStr">
        <is>
          <t>EAR</t>
        </is>
      </c>
      <c r="F10" s="8" t="inlineStr">
        <is>
          <t>Δ vs tahunan</t>
        </is>
      </c>
      <c r="G10" s="8" t="inlineStr">
        <is>
          <t>Rumus</t>
        </is>
      </c>
    </row>
    <row r="11">
      <c r="B11" s="11" t="inlineStr">
        <is>
          <t>Tahunan</t>
        </is>
      </c>
      <c r="C11" s="37" t="n">
        <v>1</v>
      </c>
      <c r="D11" s="38">
        <f>C6*(1+C7/1)^(1*C8)</f>
        <v/>
      </c>
      <c r="E11" s="43">
        <f>(1+C7/1)^1-1</f>
        <v/>
      </c>
      <c r="F11" s="38">
        <f>D11-D11</f>
        <v/>
      </c>
      <c r="G11" s="14" t="inlineStr">
        <is>
          <t>FV = PV × (1 + r_nom/m)^(m·t)</t>
        </is>
      </c>
    </row>
    <row r="12">
      <c r="B12" s="11" t="inlineStr">
        <is>
          <t>Semi-tahunan</t>
        </is>
      </c>
      <c r="C12" s="37" t="n">
        <v>2</v>
      </c>
      <c r="D12" s="38">
        <f>C6*(1+C7/2)^(2*C8)</f>
        <v/>
      </c>
      <c r="E12" s="43">
        <f>(1+C7/2)^2-1</f>
        <v/>
      </c>
      <c r="F12" s="38">
        <f>D12-D11</f>
        <v/>
      </c>
      <c r="G12" s="14" t="inlineStr">
        <is>
          <t>m = 2 (kupon obligasi US)</t>
        </is>
      </c>
    </row>
    <row r="13">
      <c r="B13" s="11" t="inlineStr">
        <is>
          <t>Bulanan</t>
        </is>
      </c>
      <c r="C13" s="37" t="n">
        <v>12</v>
      </c>
      <c r="D13" s="38">
        <f>C6*(1+C7/12)^(12*C8)</f>
        <v/>
      </c>
      <c r="E13" s="43">
        <f>(1+C7/12)^12-1</f>
        <v/>
      </c>
      <c r="F13" s="38">
        <f>D13-D11</f>
        <v/>
      </c>
      <c r="G13" s="14" t="inlineStr">
        <is>
          <t>m = 12 (KPR, kartu kredit)</t>
        </is>
      </c>
    </row>
    <row r="14">
      <c r="B14" s="11" t="inlineStr">
        <is>
          <t>Harian</t>
        </is>
      </c>
      <c r="C14" s="37" t="n">
        <v>365</v>
      </c>
      <c r="D14" s="38">
        <f>C6*(1+C7/365)^(365*C8)</f>
        <v/>
      </c>
      <c r="E14" s="43">
        <f>(1+C7/365)^365-1</f>
        <v/>
      </c>
      <c r="F14" s="38">
        <f>D14-D11</f>
        <v/>
      </c>
      <c r="G14" s="14" t="inlineStr">
        <is>
          <t>m = 365 (mendekati kontinu)</t>
        </is>
      </c>
    </row>
    <row r="15">
      <c r="B15" s="44" t="inlineStr">
        <is>
          <t>Kontinu</t>
        </is>
      </c>
      <c r="C15" s="45" t="inlineStr">
        <is>
          <t>∞</t>
        </is>
      </c>
      <c r="D15" s="46">
        <f>C6*EXP(C7*C8)</f>
        <v/>
      </c>
      <c r="E15" s="47">
        <f>EXP(C7)-1</f>
        <v/>
      </c>
      <c r="F15" s="48">
        <f>D15-D11</f>
        <v/>
      </c>
      <c r="G15" s="49" t="inlineStr">
        <is>
          <t>FV = PV × e^(r·t)   (limit m → ∞)</t>
        </is>
      </c>
    </row>
    <row r="17">
      <c r="B17" s="6" t="inlineStr">
        <is>
          <t>Pelajaran: makin sering compounding, makin besar FV &amp; EAR — tapi selisih makin mengecil.</t>
        </is>
      </c>
    </row>
    <row r="18">
      <c r="B18" s="10" t="inlineStr">
        <is>
          <t>Pada 12% nominal: EAR tahunan = 12,000% · bulanan = 12,683% · kontinu = 12,750%.</t>
        </is>
      </c>
    </row>
    <row r="20" ht="22" customHeight="1">
      <c r="B20" s="8" t="inlineStr">
        <is>
          <t>KONVERTER NOMINAL → EAR</t>
        </is>
      </c>
      <c r="C20" s="25" t="n"/>
      <c r="D20" s="25" t="n"/>
      <c r="E20" s="25" t="n"/>
      <c r="F20" s="25" t="n"/>
      <c r="G20" s="26" t="n"/>
    </row>
    <row r="21">
      <c r="B21" s="11" t="inlineStr">
        <is>
          <t>Nominal rate (input)</t>
        </is>
      </c>
      <c r="C21" s="50">
        <f>C7</f>
        <v/>
      </c>
      <c r="D21" s="14" t="inlineStr">
        <is>
          <t>Mengikuti input di atas (atau ubah C7).</t>
        </is>
      </c>
    </row>
    <row r="22">
      <c r="B22" s="11" t="inlineStr">
        <is>
          <t>Frekuensi m (input)</t>
        </is>
      </c>
      <c r="C22" s="17" t="n">
        <v>12</v>
      </c>
      <c r="D22" s="14" t="inlineStr">
        <is>
          <t>1=tahunan, 2=semi, 4=triwulanan, 12=bulanan, 52=mingguan, 365=harian.</t>
        </is>
      </c>
    </row>
    <row r="23">
      <c r="B23" s="21" t="inlineStr">
        <is>
          <t>→ EAR (hasil)</t>
        </is>
      </c>
      <c r="C23" s="51">
        <f>(1+C21/C22)^C22-1</f>
        <v/>
      </c>
      <c r="D23" s="24" t="inlineStr">
        <is>
          <t>'= (1 + r_nom/m)^m − 1   Tingkat efektif tahunan setara.</t>
        </is>
      </c>
    </row>
    <row r="24">
      <c r="B24" s="11" t="inlineStr">
        <is>
          <t>→ Selisih EAR − Nominal</t>
        </is>
      </c>
      <c r="C24" s="50">
        <f>C23-C21</f>
        <v/>
      </c>
      <c r="D24" s="14" t="inlineStr">
        <is>
          <t>Bebana tambahan dari efek compounding (basis poin).</t>
        </is>
      </c>
    </row>
  </sheetData>
  <mergeCells count="17">
    <mergeCell ref="B3:G3"/>
    <mergeCell ref="B2:G2"/>
    <mergeCell ref="D6:E6"/>
    <mergeCell ref="D8:E8"/>
    <mergeCell ref="B20:G20"/>
    <mergeCell ref="D22:G22"/>
    <mergeCell ref="D7:E7"/>
    <mergeCell ref="D23:G23"/>
    <mergeCell ref="F5:G5"/>
    <mergeCell ref="D5:E5"/>
    <mergeCell ref="B17:G17"/>
    <mergeCell ref="D21:G21"/>
    <mergeCell ref="D24:G24"/>
    <mergeCell ref="F6:G6"/>
    <mergeCell ref="B18:G18"/>
    <mergeCell ref="F7:G7"/>
    <mergeCell ref="F8:G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2026-07-18T15:21:08Z</dcterms:created>
  <dcterms:modified xmlns:dcterms="http://purl.org/dc/terms/" xmlns:xsi="http://www.w3.org/2001/XMLSchema-instance" xsi:type="dcterms:W3CDTF">2026-07-18T15:21:08Z</dcterms:modified>
</cp:coreProperties>
</file>