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CASHFLOW_IJARAH" sheetId="2" state="visible" r:id="rId2"/>
    <sheet xmlns:r="http://schemas.openxmlformats.org/officeDocument/2006/relationships" name="2_YIELD_PRICE" sheetId="3" state="visible" r:id="rId3"/>
    <sheet xmlns:r="http://schemas.openxmlformats.org/officeDocument/2006/relationships" name="3_DURATION_CONVEXITY" sheetId="4" state="visible" r:id="rId4"/>
    <sheet xmlns:r="http://schemas.openxmlformats.org/officeDocument/2006/relationships" name="4_VARIABEL_MUDHARABAH" sheetId="5" state="visible" r:id="rId5"/>
    <sheet xmlns:r="http://schemas.openxmlformats.org/officeDocument/2006/relationships" name="5_KOMPARATOR_SUN_SUKUK" sheetId="6" state="visible" r:id="rId6"/>
    <sheet xmlns:r="http://schemas.openxmlformats.org/officeDocument/2006/relationships" name="6_AKAD_SELECT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Rp&quot;#,##0.00&quot; jt&quot;;[Red](&quot;Rp&quot;#,##0.00&quot; jt&quot;)"/>
    <numFmt numFmtId="165" formatCode="0.0000%"/>
    <numFmt numFmtId="166" formatCode="0.0%"/>
  </numFmts>
  <fonts count="10">
    <font>
      <name val="Calibri"/>
      <family val="2"/>
      <color theme="1"/>
      <sz val="11"/>
      <scheme val="minor"/>
    </font>
    <font>
      <name val="Arial"/>
      <b val="1"/>
      <color rgb="FFFFFFFF"/>
      <sz val="13"/>
    </font>
    <font>
      <name val="Arial"/>
      <i val="1"/>
      <color rgb="FF555555"/>
      <sz val="9"/>
    </font>
    <font>
      <name val="Arial"/>
      <b val="1"/>
      <color rgb="FF000000"/>
      <sz val="10"/>
    </font>
    <font>
      <name val="Arial"/>
      <color rgb="FF000000"/>
      <sz val="10"/>
    </font>
    <font>
      <name val="Arial"/>
      <i val="1"/>
      <color rgb="FF555555"/>
      <sz val="8.5"/>
    </font>
    <font>
      <name val="Arial"/>
      <b val="1"/>
      <color rgb="FF000000"/>
      <sz val="10.5"/>
    </font>
    <font>
      <name val="Arial"/>
      <b val="1"/>
      <color rgb="FF0D47A1"/>
      <sz val="10"/>
    </font>
    <font>
      <name val="Arial"/>
      <b val="1"/>
      <color rgb="FF000000"/>
      <sz val="11"/>
    </font>
    <font>
      <name val="Arial"/>
      <color rgb="FF2E7D32"/>
      <sz val="10"/>
    </font>
  </fonts>
  <fills count="7">
    <fill>
      <patternFill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E0E0E0"/>
      </patternFill>
    </fill>
    <fill>
      <patternFill patternType="solid">
        <fgColor rgb="FFF0F4FF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 wrapText="1"/>
    </xf>
    <xf numFmtId="0" fontId="6" fillId="4" borderId="0" pivotButton="0" quotePrefix="0" xfId="0"/>
    <xf numFmtId="164" fontId="7" fillId="5" borderId="1" pivotButton="0" quotePrefix="0" xfId="0"/>
    <xf numFmtId="10" fontId="7" fillId="5" borderId="1" pivotButton="0" quotePrefix="0" xfId="0"/>
    <xf numFmtId="3" fontId="7" fillId="5" borderId="1" pivotButton="0" quotePrefix="0" xfId="0"/>
    <xf numFmtId="164" fontId="4" fillId="0" borderId="1" pivotButton="0" quotePrefix="0" xfId="0"/>
    <xf numFmtId="3" fontId="4" fillId="0" borderId="1" pivotButton="0" quotePrefix="0" xfId="0"/>
    <xf numFmtId="164" fontId="8" fillId="6" borderId="1" pivotButton="0" quotePrefix="0" xfId="0"/>
    <xf numFmtId="3" fontId="9" fillId="0" borderId="1" pivotButton="0" quotePrefix="0" xfId="0"/>
    <xf numFmtId="165" fontId="4" fillId="0" borderId="1" pivotButton="0" quotePrefix="0" xfId="0"/>
    <xf numFmtId="164" fontId="9" fillId="0" borderId="1" pivotButton="0" quotePrefix="0" xfId="0"/>
    <xf numFmtId="4" fontId="4" fillId="0" borderId="1" pivotButton="0" quotePrefix="0" xfId="0"/>
    <xf numFmtId="10" fontId="4" fillId="0" borderId="1" pivotButton="0" quotePrefix="0" xfId="0"/>
    <xf numFmtId="0" fontId="8" fillId="6" borderId="1" pivotButton="0" quotePrefix="0" xfId="0"/>
    <xf numFmtId="165" fontId="9" fillId="0" borderId="1" pivotButton="0" quotePrefix="0" xfId="0"/>
    <xf numFmtId="10" fontId="9" fillId="0" borderId="1" pivotButton="0" quotePrefix="0" xfId="0"/>
    <xf numFmtId="164" fontId="3" fillId="0" borderId="1" pivotButton="0" quotePrefix="0" xfId="0"/>
    <xf numFmtId="4" fontId="3" fillId="0" borderId="1" pivotButton="0" quotePrefix="0" xfId="0"/>
    <xf numFmtId="4" fontId="8" fillId="6" borderId="1" pivotButton="0" quotePrefix="0" xfId="0"/>
    <xf numFmtId="10" fontId="8" fillId="6" borderId="1" pivotButton="0" quotePrefix="0" xfId="0"/>
    <xf numFmtId="166" fontId="7" fillId="5" borderId="1" pivotButton="0" quotePrefix="0" xfId="0"/>
    <xf numFmtId="164" fontId="3" fillId="5" borderId="1" applyAlignment="1" pivotButton="0" quotePrefix="0" xfId="0">
      <alignment vertical="center"/>
    </xf>
    <xf numFmtId="0" fontId="7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9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4" customWidth="1" min="2" max="2"/>
    <col width="78" customWidth="1" min="3" max="3"/>
    <col width="3" customWidth="1" min="4" max="4"/>
  </cols>
  <sheetData>
    <row r="2" ht="22" customHeight="1">
      <c r="B2" s="1" t="inlineStr">
        <is>
          <t>TOOLKIT SUKUK — KALKULATOR 7-SHEET · Sukuk Negara INDON4 (Ijarah)</t>
        </is>
      </c>
    </row>
    <row r="3">
      <c r="B3" s="2" t="inlineStr">
        <is>
          <t>Companion Excel untuk artikel stdsquare² 'Sukuk — Surat Berharga Syariah Negara dari Nol'. Sel hitam = formula hidup; ubah sel biru (input) dan harga/duration/komparator menghitung ulang.</t>
        </is>
      </c>
    </row>
    <row r="5">
      <c r="B5" s="3" t="inlineStr">
        <is>
          <t>ALUR KERJA:</t>
        </is>
      </c>
    </row>
    <row r="6" ht="30" customHeight="1">
      <c r="B6" s="3" t="inlineStr">
        <is>
          <t>1. 1_CASHFLOW_IJARAH</t>
        </is>
      </c>
      <c r="C6" s="4" t="inlineStr">
        <is>
          <t>Bangun arus kas Sukuk Ijarah fixed-rate dari input (nominal Rp 100 jt, imbal hasil 8,25%, tenor 5 th, tahunan). Grid periode 1-10: imbal hasil + pokok di T=N.</t>
        </is>
      </c>
    </row>
    <row r="7" ht="30" customHeight="1">
      <c r="B7" s="3" t="inlineStr">
        <is>
          <t>2. 2_YIELD_PRICE</t>
        </is>
      </c>
      <c r="C7" s="4" t="inlineStr">
        <is>
          <t>Present value tiap arus kas pada YTM pasar (7%) → harga. Hasil: Rp 105,13 jt (premium, karena imbal hasil 8,25% &gt; YTM 7%). Ubah YTM biru → harga bergerak.</t>
        </is>
      </c>
    </row>
    <row r="8" ht="30" customHeight="1">
      <c r="B8" s="3" t="inlineStr">
        <is>
          <t>3. 3_DURATION_CONVEXITY</t>
        </is>
      </c>
      <c r="C8" s="4" t="inlineStr">
        <is>
          <t>Macaulay duration (Σ t×PV / harga), modified duration, dan convexity dari grid arus kas. Hasil: Dmac 4,31 · Dmod 4,03 · convexity ≈21,4.</t>
        </is>
      </c>
    </row>
    <row r="9" ht="30" customHeight="1">
      <c r="B9" s="3" t="inlineStr">
        <is>
          <t>4. 4_VARIABEL_MUDHARABAH</t>
        </is>
      </c>
      <c r="C9" s="4" t="inlineStr">
        <is>
          <t>Sukuk bagi hasil: imbal hasil efektif = nisbah × return underlying × porsi kepemilikan. Kasus: nisbah 30%, dana Rp 1 M, investor Rp 800 jt, return 12% → bagian Rp 36 jt, yield efektif 4,5%.</t>
        </is>
      </c>
    </row>
    <row r="10" ht="30" customHeight="1">
      <c r="B10" s="3" t="inlineStr">
        <is>
          <t>5. 5_KOMPARATOR_SUN_SUKUK</t>
        </is>
      </c>
      <c r="C10" s="4" t="inlineStr">
        <is>
          <t>Bandingkan side-by-side SUN konvensional (kupon 7,5%) vs Sukuk Ijarah (imbal 7,75%), YTM 8%, 5 th. Harga, duration, dan yield premium otomatis.</t>
        </is>
      </c>
    </row>
    <row r="11" ht="30" customHeight="1">
      <c r="B11" s="3" t="inlineStr">
        <is>
          <t>6. 6_AKAD_SELECTOR</t>
        </is>
      </c>
      <c r="C11" s="4" t="inlineStr">
        <is>
          <t>Referensi 8 akad sukuk (Ijarah, Mudharabah, Musharakah, Murabahah, Istishna, Salam, Wakalah, Kombinasi) — pilih via dropdown untuk lihat profil arus kas &amp; risiko.</t>
        </is>
      </c>
    </row>
    <row r="13">
      <c r="B13" s="3" t="inlineStr">
        <is>
          <t>KONVENSI WARNA:</t>
        </is>
      </c>
    </row>
    <row r="14">
      <c r="B14" s="5" t="inlineStr">
        <is>
          <t>Biru tebal</t>
        </is>
      </c>
      <c r="C14" s="6" t="inlineStr">
        <is>
          <t>Input — boleh diubah (nominal, imbal hasil, YTM, tenor, nisbah).</t>
        </is>
      </c>
    </row>
    <row r="15">
      <c r="B15" s="5" t="inlineStr">
        <is>
          <t>Hitam</t>
        </is>
      </c>
      <c r="C15" s="6" t="inlineStr">
        <is>
          <t>Formula — hasil kalkulasi.</t>
        </is>
      </c>
    </row>
    <row r="16">
      <c r="B16" s="5" t="inlineStr">
        <is>
          <t>Hijau</t>
        </is>
      </c>
      <c r="C16" s="6" t="inlineStr">
        <is>
          <t>Link antar-sheet (arus kas dari sheet 1 dipakai di sheet 2 &amp; 3).</t>
        </is>
      </c>
    </row>
    <row r="17">
      <c r="B17" s="5" t="inlineStr">
        <is>
          <t>Kuning</t>
        </is>
      </c>
      <c r="C17" s="6" t="inlineStr">
        <is>
          <t>Hasil akhir (harga, duration, yield).</t>
        </is>
      </c>
    </row>
    <row r="19" ht="42" customHeight="1">
      <c r="B19" s="6" t="inlineStr">
        <is>
          <t>Catatan angka: artikel membulatkan tiap PV ke 2 desimal (mis. PV pokok 77,13) sehingga total 105,06. Workbook menghitung PRESISI penuh → 105,13. Convexity artikel disebut '≈22,5' (aproksimasi); formula presisi memberi 21,4. Keduanya memberi koreksi convexity +0,11% untuk Δy=1%. Sumber kasus: Sukuk Negara INDON4 (ilustratif), Sukuk Ritel/Tabungan.</t>
        </is>
      </c>
    </row>
  </sheetData>
  <mergeCells count="2"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25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28" customWidth="1" min="7" max="7"/>
  </cols>
  <sheetData>
    <row r="2" ht="22" customHeight="1">
      <c r="B2" s="1" t="inlineStr">
        <is>
          <t>1. ARUS KAS SUKUK IJARAH FIXED-RATE</t>
        </is>
      </c>
    </row>
    <row r="3">
      <c r="B3" s="2" t="inlineStr">
        <is>
          <t>Sukuk Negara INDON4 (ilustratif): nominal Rp 100 jt, imbal hasil 8,25%/th, tenor 5 th, tahunan. Grid arus kas terbentuk dari input.</t>
        </is>
      </c>
    </row>
    <row r="5" ht="16" customHeight="1">
      <c r="B5" s="7" t="inlineStr">
        <is>
          <t>INPUT (ubah sel biru)</t>
        </is>
      </c>
    </row>
    <row r="6">
      <c r="B6" s="5" t="inlineStr">
        <is>
          <t>Nilai nominal (face, Rp juta)</t>
        </is>
      </c>
      <c r="C6" s="8" t="n">
        <v>100</v>
      </c>
    </row>
    <row r="7">
      <c r="B7" s="5" t="inlineStr">
        <is>
          <t>Imbal hasil tetap (ujrah, %/th)</t>
        </is>
      </c>
      <c r="C7" s="9" t="n">
        <v>0.0825</v>
      </c>
    </row>
    <row r="8">
      <c r="B8" s="5" t="inlineStr">
        <is>
          <t>Tenor (tahun)</t>
        </is>
      </c>
      <c r="C8" s="10" t="n">
        <v>5</v>
      </c>
    </row>
    <row r="9">
      <c r="B9" s="5" t="inlineStr">
        <is>
          <t>Frekuensi pembayaran / tahun</t>
        </is>
      </c>
      <c r="C9" s="10" t="n">
        <v>1</v>
      </c>
    </row>
    <row r="10">
      <c r="B10" s="5" t="inlineStr">
        <is>
          <t>→ Imbal hasil per periode (Rp juta)</t>
        </is>
      </c>
      <c r="C10" s="11">
        <f>C7*C6/C9</f>
        <v/>
      </c>
    </row>
    <row r="11">
      <c r="B11" s="5" t="inlineStr">
        <is>
          <t>→ Jumlah periode N</t>
        </is>
      </c>
      <c r="C11" s="12">
        <f>C8*C9</f>
        <v/>
      </c>
    </row>
    <row r="13" ht="16" customHeight="1">
      <c r="B13" s="7" t="inlineStr">
        <is>
          <t>GRID ARUS KAS (periode 1-10; nol di luar tenor)</t>
        </is>
      </c>
    </row>
    <row r="14">
      <c r="B14" s="3" t="inlineStr">
        <is>
          <t>Periode t</t>
        </is>
      </c>
      <c r="C14" s="3" t="inlineStr">
        <is>
          <t>Imbal Hasil</t>
        </is>
      </c>
      <c r="D14" s="3" t="inlineStr">
        <is>
          <t>Pokok</t>
        </is>
      </c>
      <c r="E14" s="3" t="inlineStr">
        <is>
          <t>Total Arus Kas CFₜ</t>
        </is>
      </c>
    </row>
    <row r="15">
      <c r="B15" s="12">
        <f>IF(ROW()-15+1&lt;=$C$11,ROW()-15+1,"")</f>
        <v/>
      </c>
      <c r="C15" s="11">
        <f>IF(B15="","",$C$10)</f>
        <v/>
      </c>
      <c r="D15" s="11">
        <f>IF(B15=$C$11,$C$6,0)</f>
        <v/>
      </c>
      <c r="E15" s="11">
        <f>IF(B15="","",C15+D15)</f>
        <v/>
      </c>
    </row>
    <row r="16">
      <c r="B16" s="12">
        <f>IF(ROW()-15+1&lt;=$C$11,ROW()-15+1,"")</f>
        <v/>
      </c>
      <c r="C16" s="11">
        <f>IF(B16="","",$C$10)</f>
        <v/>
      </c>
      <c r="D16" s="11">
        <f>IF(B16=$C$11,$C$6,0)</f>
        <v/>
      </c>
      <c r="E16" s="11">
        <f>IF(B16="","",C16+D16)</f>
        <v/>
      </c>
    </row>
    <row r="17">
      <c r="B17" s="12">
        <f>IF(ROW()-15+1&lt;=$C$11,ROW()-15+1,"")</f>
        <v/>
      </c>
      <c r="C17" s="11">
        <f>IF(B17="","",$C$10)</f>
        <v/>
      </c>
      <c r="D17" s="11">
        <f>IF(B17=$C$11,$C$6,0)</f>
        <v/>
      </c>
      <c r="E17" s="11">
        <f>IF(B17="","",C17+D17)</f>
        <v/>
      </c>
    </row>
    <row r="18">
      <c r="B18" s="12">
        <f>IF(ROW()-15+1&lt;=$C$11,ROW()-15+1,"")</f>
        <v/>
      </c>
      <c r="C18" s="11">
        <f>IF(B18="","",$C$10)</f>
        <v/>
      </c>
      <c r="D18" s="11">
        <f>IF(B18=$C$11,$C$6,0)</f>
        <v/>
      </c>
      <c r="E18" s="11">
        <f>IF(B18="","",C18+D18)</f>
        <v/>
      </c>
    </row>
    <row r="19">
      <c r="B19" s="12">
        <f>IF(ROW()-15+1&lt;=$C$11,ROW()-15+1,"")</f>
        <v/>
      </c>
      <c r="C19" s="11">
        <f>IF(B19="","",$C$10)</f>
        <v/>
      </c>
      <c r="D19" s="11">
        <f>IF(B19=$C$11,$C$6,0)</f>
        <v/>
      </c>
      <c r="E19" s="11">
        <f>IF(B19="","",C19+D19)</f>
        <v/>
      </c>
    </row>
    <row r="20">
      <c r="B20" s="12">
        <f>IF(ROW()-15+1&lt;=$C$11,ROW()-15+1,"")</f>
        <v/>
      </c>
      <c r="C20" s="11">
        <f>IF(B20="","",$C$10)</f>
        <v/>
      </c>
      <c r="D20" s="11">
        <f>IF(B20=$C$11,$C$6,0)</f>
        <v/>
      </c>
      <c r="E20" s="11">
        <f>IF(B20="","",C20+D20)</f>
        <v/>
      </c>
    </row>
    <row r="21">
      <c r="B21" s="12">
        <f>IF(ROW()-15+1&lt;=$C$11,ROW()-15+1,"")</f>
        <v/>
      </c>
      <c r="C21" s="11">
        <f>IF(B21="","",$C$10)</f>
        <v/>
      </c>
      <c r="D21" s="11">
        <f>IF(B21=$C$11,$C$6,0)</f>
        <v/>
      </c>
      <c r="E21" s="11">
        <f>IF(B21="","",C21+D21)</f>
        <v/>
      </c>
    </row>
    <row r="22">
      <c r="B22" s="12">
        <f>IF(ROW()-15+1&lt;=$C$11,ROW()-15+1,"")</f>
        <v/>
      </c>
      <c r="C22" s="11">
        <f>IF(B22="","",$C$10)</f>
        <v/>
      </c>
      <c r="D22" s="11">
        <f>IF(B22=$C$11,$C$6,0)</f>
        <v/>
      </c>
      <c r="E22" s="11">
        <f>IF(B22="","",C22+D22)</f>
        <v/>
      </c>
    </row>
    <row r="23">
      <c r="B23" s="12">
        <f>IF(ROW()-15+1&lt;=$C$11,ROW()-15+1,"")</f>
        <v/>
      </c>
      <c r="C23" s="11">
        <f>IF(B23="","",$C$10)</f>
        <v/>
      </c>
      <c r="D23" s="11">
        <f>IF(B23=$C$11,$C$6,0)</f>
        <v/>
      </c>
      <c r="E23" s="11">
        <f>IF(B23="","",C23+D23)</f>
        <v/>
      </c>
    </row>
    <row r="24">
      <c r="B24" s="12">
        <f>IF(ROW()-15+1&lt;=$C$11,ROW()-15+1,"")</f>
        <v/>
      </c>
      <c r="C24" s="11">
        <f>IF(B24="","",$C$10)</f>
        <v/>
      </c>
      <c r="D24" s="11">
        <f>IF(B24=$C$11,$C$6,0)</f>
        <v/>
      </c>
      <c r="E24" s="11">
        <f>IF(B24="","",C24+D24)</f>
        <v/>
      </c>
    </row>
    <row r="25">
      <c r="B25" s="3" t="inlineStr">
        <is>
          <t>Total arus kas (Σ CF)</t>
        </is>
      </c>
      <c r="E25" s="13">
        <f>SUM(E15:E24)</f>
        <v/>
      </c>
    </row>
  </sheetData>
  <mergeCells count="4">
    <mergeCell ref="B3:G3"/>
    <mergeCell ref="B2:G2"/>
    <mergeCell ref="B5:G5"/>
    <mergeCell ref="B13:G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24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8" customWidth="1" min="3" max="3"/>
    <col width="18" customWidth="1" min="4" max="4"/>
    <col width="20" customWidth="1" min="5" max="5"/>
    <col width="30" customWidth="1" min="6" max="6"/>
  </cols>
  <sheetData>
    <row r="2" ht="22" customHeight="1">
      <c r="B2" s="1" t="inlineStr">
        <is>
          <t>2. YIELD &amp; HARGA — PRESENT VALUE ARUS KAS</t>
        </is>
      </c>
    </row>
    <row r="3">
      <c r="B3" s="2" t="inlineStr">
        <is>
          <t>Harga = Σ PV(arus kas) pada YTM. Arus kas di-link dari sheet 1. Ubah YTM (biru) → harga bergerak.</t>
        </is>
      </c>
    </row>
    <row r="5" ht="16" customHeight="1">
      <c r="B5" s="7" t="inlineStr">
        <is>
          <t>INPUT</t>
        </is>
      </c>
    </row>
    <row r="6">
      <c r="B6" s="5" t="inlineStr">
        <is>
          <t>YTM pasar (%/th)</t>
        </is>
      </c>
      <c r="C6" s="9" t="n">
        <v>0.07000000000000001</v>
      </c>
    </row>
    <row r="7">
      <c r="B7" s="5" t="inlineStr">
        <is>
          <t>Frekuensi/th (link sheet 1)</t>
        </is>
      </c>
      <c r="C7" s="14">
        <f>'1_CASHFLOW_IJARAH'!C9</f>
        <v/>
      </c>
    </row>
    <row r="8">
      <c r="B8" s="5" t="inlineStr">
        <is>
          <t>→ Yield per periode y</t>
        </is>
      </c>
      <c r="C8" s="15">
        <f>C6/C7</f>
        <v/>
      </c>
    </row>
    <row r="10" ht="16" customHeight="1">
      <c r="B10" s="7" t="inlineStr">
        <is>
          <t>TABEL PV ARUS KAS</t>
        </is>
      </c>
    </row>
    <row r="11">
      <c r="B11" s="3" t="inlineStr">
        <is>
          <t>Periode t</t>
        </is>
      </c>
      <c r="C11" s="3" t="inlineStr">
        <is>
          <t>Arus Kas CFₜ</t>
        </is>
      </c>
      <c r="D11" s="3" t="inlineStr">
        <is>
          <t>Faktor Diskonto 1/(1+y)ᵗ</t>
        </is>
      </c>
      <c r="E11" s="3" t="inlineStr">
        <is>
          <t>PV(CFₜ)</t>
        </is>
      </c>
    </row>
    <row r="12">
      <c r="B12" s="12">
        <f>'1_CASHFLOW_IJARAH'!B15</f>
        <v/>
      </c>
      <c r="C12" s="16">
        <f>IF('1_CASHFLOW_IJARAH'!B15="","",'1_CASHFLOW_IJARAH'!E15)</f>
        <v/>
      </c>
      <c r="D12" s="17">
        <f>IF(B12="","",1/(1+$C$8)^B12)</f>
        <v/>
      </c>
      <c r="E12" s="11">
        <f>IF(B12="","",C12*D12)</f>
        <v/>
      </c>
    </row>
    <row r="13">
      <c r="B13" s="12">
        <f>'1_CASHFLOW_IJARAH'!B16</f>
        <v/>
      </c>
      <c r="C13" s="16">
        <f>IF('1_CASHFLOW_IJARAH'!B16="","",'1_CASHFLOW_IJARAH'!E16)</f>
        <v/>
      </c>
      <c r="D13" s="17">
        <f>IF(B13="","",1/(1+$C$8)^B13)</f>
        <v/>
      </c>
      <c r="E13" s="11">
        <f>IF(B13="","",C13*D13)</f>
        <v/>
      </c>
    </row>
    <row r="14">
      <c r="B14" s="12">
        <f>'1_CASHFLOW_IJARAH'!B17</f>
        <v/>
      </c>
      <c r="C14" s="16">
        <f>IF('1_CASHFLOW_IJARAH'!B17="","",'1_CASHFLOW_IJARAH'!E17)</f>
        <v/>
      </c>
      <c r="D14" s="17">
        <f>IF(B14="","",1/(1+$C$8)^B14)</f>
        <v/>
      </c>
      <c r="E14" s="11">
        <f>IF(B14="","",C14*D14)</f>
        <v/>
      </c>
    </row>
    <row r="15">
      <c r="B15" s="12">
        <f>'1_CASHFLOW_IJARAH'!B18</f>
        <v/>
      </c>
      <c r="C15" s="16">
        <f>IF('1_CASHFLOW_IJARAH'!B18="","",'1_CASHFLOW_IJARAH'!E18)</f>
        <v/>
      </c>
      <c r="D15" s="17">
        <f>IF(B15="","",1/(1+$C$8)^B15)</f>
        <v/>
      </c>
      <c r="E15" s="11">
        <f>IF(B15="","",C15*D15)</f>
        <v/>
      </c>
    </row>
    <row r="16">
      <c r="B16" s="12">
        <f>'1_CASHFLOW_IJARAH'!B19</f>
        <v/>
      </c>
      <c r="C16" s="16">
        <f>IF('1_CASHFLOW_IJARAH'!B19="","",'1_CASHFLOW_IJARAH'!E19)</f>
        <v/>
      </c>
      <c r="D16" s="17">
        <f>IF(B16="","",1/(1+$C$8)^B16)</f>
        <v/>
      </c>
      <c r="E16" s="11">
        <f>IF(B16="","",C16*D16)</f>
        <v/>
      </c>
    </row>
    <row r="17">
      <c r="B17" s="12">
        <f>'1_CASHFLOW_IJARAH'!B20</f>
        <v/>
      </c>
      <c r="C17" s="16">
        <f>IF('1_CASHFLOW_IJARAH'!B20="","",'1_CASHFLOW_IJARAH'!E20)</f>
        <v/>
      </c>
      <c r="D17" s="17">
        <f>IF(B17="","",1/(1+$C$8)^B17)</f>
        <v/>
      </c>
      <c r="E17" s="11">
        <f>IF(B17="","",C17*D17)</f>
        <v/>
      </c>
    </row>
    <row r="18">
      <c r="B18" s="12">
        <f>'1_CASHFLOW_IJARAH'!B21</f>
        <v/>
      </c>
      <c r="C18" s="16">
        <f>IF('1_CASHFLOW_IJARAH'!B21="","",'1_CASHFLOW_IJARAH'!E21)</f>
        <v/>
      </c>
      <c r="D18" s="17">
        <f>IF(B18="","",1/(1+$C$8)^B18)</f>
        <v/>
      </c>
      <c r="E18" s="11">
        <f>IF(B18="","",C18*D18)</f>
        <v/>
      </c>
    </row>
    <row r="19">
      <c r="B19" s="12">
        <f>'1_CASHFLOW_IJARAH'!B22</f>
        <v/>
      </c>
      <c r="C19" s="16">
        <f>IF('1_CASHFLOW_IJARAH'!B22="","",'1_CASHFLOW_IJARAH'!E22)</f>
        <v/>
      </c>
      <c r="D19" s="17">
        <f>IF(B19="","",1/(1+$C$8)^B19)</f>
        <v/>
      </c>
      <c r="E19" s="11">
        <f>IF(B19="","",C19*D19)</f>
        <v/>
      </c>
    </row>
    <row r="20">
      <c r="B20" s="12">
        <f>'1_CASHFLOW_IJARAH'!B23</f>
        <v/>
      </c>
      <c r="C20" s="16">
        <f>IF('1_CASHFLOW_IJARAH'!B23="","",'1_CASHFLOW_IJARAH'!E23)</f>
        <v/>
      </c>
      <c r="D20" s="17">
        <f>IF(B20="","",1/(1+$C$8)^B20)</f>
        <v/>
      </c>
      <c r="E20" s="11">
        <f>IF(B20="","",C20*D20)</f>
        <v/>
      </c>
    </row>
    <row r="21">
      <c r="B21" s="12">
        <f>'1_CASHFLOW_IJARAH'!B24</f>
        <v/>
      </c>
      <c r="C21" s="16">
        <f>IF('1_CASHFLOW_IJARAH'!B24="","",'1_CASHFLOW_IJARAH'!E24)</f>
        <v/>
      </c>
      <c r="D21" s="17">
        <f>IF(B21="","",1/(1+$C$8)^B21)</f>
        <v/>
      </c>
      <c r="E21" s="11">
        <f>IF(B21="","",C21*D21)</f>
        <v/>
      </c>
    </row>
    <row r="22">
      <c r="B22" s="3" t="inlineStr">
        <is>
          <t>HARGA = Σ PV</t>
        </is>
      </c>
      <c r="E22" s="13">
        <f>SUM(E12:E21)</f>
        <v/>
      </c>
    </row>
    <row r="23">
      <c r="B23" s="3" t="inlineStr">
        <is>
          <t>Harga (% par)</t>
        </is>
      </c>
      <c r="E23" s="18">
        <f>E22/'1_CASHFLOW_IJARAH'!C6</f>
        <v/>
      </c>
    </row>
    <row r="24">
      <c r="B24" s="3" t="inlineStr">
        <is>
          <t>Status</t>
        </is>
      </c>
      <c r="E24" s="19">
        <f>IF(E22&gt;'1_CASHFLOW_IJARAH'!C6,"PREMIUM (imbal hasil &gt; YTM)",IF(E22&lt;'1_CASHFLOW_IJARAH'!C6,"DISKON (imbal hasil &lt; YTM)","PAR"))</f>
        <v/>
      </c>
    </row>
  </sheetData>
  <mergeCells count="4">
    <mergeCell ref="B2:F2"/>
    <mergeCell ref="B10:F10"/>
    <mergeCell ref="B3:F3"/>
    <mergeCell ref="B5:F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G34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6" customWidth="1" min="3" max="3"/>
    <col width="16" customWidth="1" min="4" max="4"/>
    <col width="16" customWidth="1" min="5" max="5"/>
    <col width="20" customWidth="1" min="6" max="6"/>
    <col width="20" customWidth="1" min="7" max="7"/>
  </cols>
  <sheetData>
    <row r="2" ht="22" customHeight="1">
      <c r="B2" s="1" t="inlineStr">
        <is>
          <t>3. DURATION &amp; CONVEXITY</t>
        </is>
      </c>
    </row>
    <row r="3">
      <c r="B3" s="2" t="inlineStr">
        <is>
          <t>Macaulay &amp; modified duration + convexity dari grid arus kas. Arus kas dari sheet 1, yield dari sheet 2.</t>
        </is>
      </c>
    </row>
    <row r="5" ht="16" customHeight="1">
      <c r="B5" s="7" t="inlineStr">
        <is>
          <t>PARAMETER (link)</t>
        </is>
      </c>
    </row>
    <row r="6">
      <c r="B6" s="5" t="inlineStr">
        <is>
          <t>Yield per periode y</t>
        </is>
      </c>
      <c r="C6" s="20">
        <f>'2_YIELD_PRICE'!C8</f>
        <v/>
      </c>
    </row>
    <row r="7">
      <c r="B7" s="5" t="inlineStr">
        <is>
          <t>Harga P</t>
        </is>
      </c>
      <c r="C7" s="16">
        <f>'2_YIELD_PRICE'!E22</f>
        <v/>
      </c>
    </row>
    <row r="8">
      <c r="B8" s="5" t="inlineStr">
        <is>
          <t>YTM tahunan</t>
        </is>
      </c>
      <c r="C8" s="21">
        <f>'2_YIELD_PRICE'!C6</f>
        <v/>
      </c>
    </row>
    <row r="10" ht="16" customHeight="1">
      <c r="B10" s="7" t="inlineStr">
        <is>
          <t>TABEL PERHITUNGAN</t>
        </is>
      </c>
    </row>
    <row r="11">
      <c r="B11" s="3" t="inlineStr">
        <is>
          <t>Periode t</t>
        </is>
      </c>
      <c r="C11" s="3" t="inlineStr">
        <is>
          <t>CFₜ</t>
        </is>
      </c>
      <c r="D11" s="3" t="inlineStr">
        <is>
          <t>PV(CFₜ)</t>
        </is>
      </c>
      <c r="E11" s="3" t="inlineStr">
        <is>
          <t>t × PV</t>
        </is>
      </c>
      <c r="F11" s="3" t="inlineStr">
        <is>
          <t>t(t+1) × PV</t>
        </is>
      </c>
    </row>
    <row r="12">
      <c r="B12" s="12">
        <f>'1_CASHFLOW_IJARAH'!B15</f>
        <v/>
      </c>
      <c r="C12" s="16">
        <f>IF('1_CASHFLOW_IJARAH'!B15="","",'1_CASHFLOW_IJARAH'!E15)</f>
        <v/>
      </c>
      <c r="D12" s="11">
        <f>IF(B12="","",C12/(1+$C$6)^B12)</f>
        <v/>
      </c>
      <c r="E12" s="17">
        <f>IF(B12="","",B12*D12)</f>
        <v/>
      </c>
      <c r="F12" s="17">
        <f>IF(B12="","",B12*(B12+1)*D12)</f>
        <v/>
      </c>
    </row>
    <row r="13">
      <c r="B13" s="12">
        <f>'1_CASHFLOW_IJARAH'!B16</f>
        <v/>
      </c>
      <c r="C13" s="16">
        <f>IF('1_CASHFLOW_IJARAH'!B16="","",'1_CASHFLOW_IJARAH'!E16)</f>
        <v/>
      </c>
      <c r="D13" s="11">
        <f>IF(B13="","",C13/(1+$C$6)^B13)</f>
        <v/>
      </c>
      <c r="E13" s="17">
        <f>IF(B13="","",B13*D13)</f>
        <v/>
      </c>
      <c r="F13" s="17">
        <f>IF(B13="","",B13*(B13+1)*D13)</f>
        <v/>
      </c>
    </row>
    <row r="14">
      <c r="B14" s="12">
        <f>'1_CASHFLOW_IJARAH'!B17</f>
        <v/>
      </c>
      <c r="C14" s="16">
        <f>IF('1_CASHFLOW_IJARAH'!B17="","",'1_CASHFLOW_IJARAH'!E17)</f>
        <v/>
      </c>
      <c r="D14" s="11">
        <f>IF(B14="","",C14/(1+$C$6)^B14)</f>
        <v/>
      </c>
      <c r="E14" s="17">
        <f>IF(B14="","",B14*D14)</f>
        <v/>
      </c>
      <c r="F14" s="17">
        <f>IF(B14="","",B14*(B14+1)*D14)</f>
        <v/>
      </c>
    </row>
    <row r="15">
      <c r="B15" s="12">
        <f>'1_CASHFLOW_IJARAH'!B18</f>
        <v/>
      </c>
      <c r="C15" s="16">
        <f>IF('1_CASHFLOW_IJARAH'!B18="","",'1_CASHFLOW_IJARAH'!E18)</f>
        <v/>
      </c>
      <c r="D15" s="11">
        <f>IF(B15="","",C15/(1+$C$6)^B15)</f>
        <v/>
      </c>
      <c r="E15" s="17">
        <f>IF(B15="","",B15*D15)</f>
        <v/>
      </c>
      <c r="F15" s="17">
        <f>IF(B15="","",B15*(B15+1)*D15)</f>
        <v/>
      </c>
    </row>
    <row r="16">
      <c r="B16" s="12">
        <f>'1_CASHFLOW_IJARAH'!B19</f>
        <v/>
      </c>
      <c r="C16" s="16">
        <f>IF('1_CASHFLOW_IJARAH'!B19="","",'1_CASHFLOW_IJARAH'!E19)</f>
        <v/>
      </c>
      <c r="D16" s="11">
        <f>IF(B16="","",C16/(1+$C$6)^B16)</f>
        <v/>
      </c>
      <c r="E16" s="17">
        <f>IF(B16="","",B16*D16)</f>
        <v/>
      </c>
      <c r="F16" s="17">
        <f>IF(B16="","",B16*(B16+1)*D16)</f>
        <v/>
      </c>
    </row>
    <row r="17">
      <c r="B17" s="12">
        <f>'1_CASHFLOW_IJARAH'!B20</f>
        <v/>
      </c>
      <c r="C17" s="16">
        <f>IF('1_CASHFLOW_IJARAH'!B20="","",'1_CASHFLOW_IJARAH'!E20)</f>
        <v/>
      </c>
      <c r="D17" s="11">
        <f>IF(B17="","",C17/(1+$C$6)^B17)</f>
        <v/>
      </c>
      <c r="E17" s="17">
        <f>IF(B17="","",B17*D17)</f>
        <v/>
      </c>
      <c r="F17" s="17">
        <f>IF(B17="","",B17*(B17+1)*D17)</f>
        <v/>
      </c>
    </row>
    <row r="18">
      <c r="B18" s="12">
        <f>'1_CASHFLOW_IJARAH'!B21</f>
        <v/>
      </c>
      <c r="C18" s="16">
        <f>IF('1_CASHFLOW_IJARAH'!B21="","",'1_CASHFLOW_IJARAH'!E21)</f>
        <v/>
      </c>
      <c r="D18" s="11">
        <f>IF(B18="","",C18/(1+$C$6)^B18)</f>
        <v/>
      </c>
      <c r="E18" s="17">
        <f>IF(B18="","",B18*D18)</f>
        <v/>
      </c>
      <c r="F18" s="17">
        <f>IF(B18="","",B18*(B18+1)*D18)</f>
        <v/>
      </c>
    </row>
    <row r="19">
      <c r="B19" s="12">
        <f>'1_CASHFLOW_IJARAH'!B22</f>
        <v/>
      </c>
      <c r="C19" s="16">
        <f>IF('1_CASHFLOW_IJARAH'!B22="","",'1_CASHFLOW_IJARAH'!E22)</f>
        <v/>
      </c>
      <c r="D19" s="11">
        <f>IF(B19="","",C19/(1+$C$6)^B19)</f>
        <v/>
      </c>
      <c r="E19" s="17">
        <f>IF(B19="","",B19*D19)</f>
        <v/>
      </c>
      <c r="F19" s="17">
        <f>IF(B19="","",B19*(B19+1)*D19)</f>
        <v/>
      </c>
    </row>
    <row r="20">
      <c r="B20" s="12">
        <f>'1_CASHFLOW_IJARAH'!B23</f>
        <v/>
      </c>
      <c r="C20" s="16">
        <f>IF('1_CASHFLOW_IJARAH'!B23="","",'1_CASHFLOW_IJARAH'!E23)</f>
        <v/>
      </c>
      <c r="D20" s="11">
        <f>IF(B20="","",C20/(1+$C$6)^B20)</f>
        <v/>
      </c>
      <c r="E20" s="17">
        <f>IF(B20="","",B20*D20)</f>
        <v/>
      </c>
      <c r="F20" s="17">
        <f>IF(B20="","",B20*(B20+1)*D20)</f>
        <v/>
      </c>
    </row>
    <row r="21">
      <c r="B21" s="12">
        <f>'1_CASHFLOW_IJARAH'!B24</f>
        <v/>
      </c>
      <c r="C21" s="16">
        <f>IF('1_CASHFLOW_IJARAH'!B24="","",'1_CASHFLOW_IJARAH'!E24)</f>
        <v/>
      </c>
      <c r="D21" s="11">
        <f>IF(B21="","",C21/(1+$C$6)^B21)</f>
        <v/>
      </c>
      <c r="E21" s="17">
        <f>IF(B21="","",B21*D21)</f>
        <v/>
      </c>
      <c r="F21" s="17">
        <f>IF(B21="","",B21*(B21+1)*D21)</f>
        <v/>
      </c>
    </row>
    <row r="22">
      <c r="B22" s="3" t="inlineStr">
        <is>
          <t>Σ</t>
        </is>
      </c>
      <c r="D22" s="22">
        <f>SUM(D12:D21)</f>
        <v/>
      </c>
      <c r="E22" s="23">
        <f>SUM(E12:E21)</f>
        <v/>
      </c>
      <c r="F22" s="23">
        <f>SUM(F12:F21)</f>
        <v/>
      </c>
    </row>
    <row r="24" ht="16" customHeight="1">
      <c r="B24" s="7" t="inlineStr">
        <is>
          <t>HASIL</t>
        </is>
      </c>
    </row>
    <row r="25">
      <c r="B25" s="3" t="inlineStr">
        <is>
          <t>Macaulay Duration = Σ(t×PV) / P (periode)</t>
        </is>
      </c>
      <c r="C25" s="17">
        <f>E22/C7</f>
        <v/>
      </c>
    </row>
    <row r="26">
      <c r="B26" s="3" t="inlineStr">
        <is>
          <t>Macaulay Duration (tahun) = Dmac_periode / freq</t>
        </is>
      </c>
      <c r="C26" s="24">
        <f>C25/'2_YIELD_PRICE'!C7</f>
        <v/>
      </c>
    </row>
    <row r="27">
      <c r="B27" s="3" t="inlineStr">
        <is>
          <t>Modified Duration = Dmac(th) / (1 + YTM/freq)</t>
        </is>
      </c>
      <c r="C27" s="24">
        <f>C26/(1+C8/'2_YIELD_PRICE'!C7)</f>
        <v/>
      </c>
    </row>
    <row r="28">
      <c r="B28" s="3" t="inlineStr">
        <is>
          <t>Convexity = [Σ t(t+1)PV] / [P × (1+y)² × freq²]</t>
        </is>
      </c>
      <c r="C28" s="24">
        <f>F22/(C7*(1+C6)^2*'2_YIELD_PRICE'!C7^2)</f>
        <v/>
      </c>
    </row>
    <row r="30" ht="16" customHeight="1">
      <c r="B30" s="7" t="inlineStr">
        <is>
          <t>APROKSIMASI PERUBAHAN HARGA</t>
        </is>
      </c>
    </row>
    <row r="31">
      <c r="B31" s="5" t="inlineStr">
        <is>
          <t>Δy (perubahan YTM, mis. +1%)</t>
        </is>
      </c>
      <c r="C31" s="9" t="n">
        <v>0.01</v>
      </c>
    </row>
    <row r="32">
      <c r="B32" s="3" t="inlineStr">
        <is>
          <t>%ΔP (duration saja) = −Dmod × Δy</t>
        </is>
      </c>
      <c r="C32" s="18">
        <f>-C27*C31</f>
        <v/>
      </c>
    </row>
    <row r="33">
      <c r="B33" s="3" t="inlineStr">
        <is>
          <t>Koreksi convexity = ½ × Convexity × Δy²</t>
        </is>
      </c>
      <c r="C33" s="18">
        <f>0.5*C28*C31^2</f>
        <v/>
      </c>
    </row>
    <row r="34">
      <c r="B34" s="3" t="inlineStr">
        <is>
          <t>%ΔP total (duration + convexity)</t>
        </is>
      </c>
      <c r="C34" s="25">
        <f>-C27*C31+0.5*C28*C31^2</f>
        <v/>
      </c>
    </row>
  </sheetData>
  <mergeCells count="6">
    <mergeCell ref="B3:G3"/>
    <mergeCell ref="B2:G2"/>
    <mergeCell ref="B24:G24"/>
    <mergeCell ref="B10:G10"/>
    <mergeCell ref="B5:G5"/>
    <mergeCell ref="B30:G3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D24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18" customWidth="1" min="3" max="3"/>
    <col width="34" customWidth="1" min="4" max="4"/>
  </cols>
  <sheetData>
    <row r="2" ht="22" customHeight="1">
      <c r="B2" s="1" t="inlineStr">
        <is>
          <t>4. SUKUK VARIABEL — BAGI HASIL MUDHARABAH</t>
        </is>
      </c>
    </row>
    <row r="3">
      <c r="B3" s="2" t="inlineStr">
        <is>
          <t>Imbal hasil efektif = nisbah investor × return underlying × porsi kepemilikan. Kasus Cek Pemahaman #2.</t>
        </is>
      </c>
    </row>
    <row r="5" ht="16" customHeight="1">
      <c r="B5" s="7" t="inlineStr">
        <is>
          <t>INPUT (ubah sel biru)</t>
        </is>
      </c>
    </row>
    <row r="6">
      <c r="B6" s="5" t="inlineStr">
        <is>
          <t>Total dana terhimpun (Rp juta)</t>
        </is>
      </c>
      <c r="C6" s="8" t="n">
        <v>1000</v>
      </c>
    </row>
    <row r="7">
      <c r="B7" s="5" t="inlineStr">
        <is>
          <t>Dana milik investor (Rp juta)</t>
        </is>
      </c>
      <c r="C7" s="8" t="n">
        <v>800</v>
      </c>
    </row>
    <row r="8">
      <c r="B8" s="5" t="inlineStr">
        <is>
          <t>Nisbah investor (%)</t>
        </is>
      </c>
      <c r="C8" s="26" t="n">
        <v>0.3</v>
      </c>
    </row>
    <row r="9">
      <c r="B9" s="5" t="inlineStr">
        <is>
          <t>Return underlying proyek (%/th)</t>
        </is>
      </c>
      <c r="C9" s="26" t="n">
        <v>0.12</v>
      </c>
    </row>
    <row r="11" ht="16" customHeight="1">
      <c r="B11" s="7" t="inlineStr">
        <is>
          <t>PERHITUNGAN</t>
        </is>
      </c>
    </row>
    <row r="12">
      <c r="B12" s="3" t="inlineStr">
        <is>
          <t>Hasil proyek = return × total dana</t>
        </is>
      </c>
      <c r="C12" s="11">
        <f>C9*C6</f>
        <v/>
      </c>
    </row>
    <row r="13">
      <c r="B13" s="3" t="inlineStr">
        <is>
          <t>Bagian investor = nisbah × hasil proyek</t>
        </is>
      </c>
      <c r="C13" s="13">
        <f>C8*C12</f>
        <v/>
      </c>
    </row>
    <row r="14">
      <c r="B14" s="3" t="inlineStr">
        <is>
          <t>Yield efektif investor = bagian / dana investor</t>
        </is>
      </c>
      <c r="C14" s="25">
        <f>C13/C7</f>
        <v/>
      </c>
    </row>
    <row r="16" ht="16" customHeight="1">
      <c r="B16" s="7" t="inlineStr">
        <is>
          <t>SKENARIO SENSITIVITAS RETURN UNDERLYING</t>
        </is>
      </c>
    </row>
    <row r="17">
      <c r="B17" s="3" t="inlineStr">
        <is>
          <t>Return underlying</t>
        </is>
      </c>
      <c r="C17" s="3" t="inlineStr">
        <is>
          <t>Yield efektif investor</t>
        </is>
      </c>
    </row>
    <row r="18">
      <c r="B18" s="26" t="n">
        <v>0.06</v>
      </c>
      <c r="C18" s="18">
        <f>$C$8*B18*$C$6/$C$7</f>
        <v/>
      </c>
    </row>
    <row r="19">
      <c r="B19" s="26" t="n">
        <v>0.08</v>
      </c>
      <c r="C19" s="18">
        <f>$C$8*B19*$C$6/$C$7</f>
        <v/>
      </c>
    </row>
    <row r="20">
      <c r="B20" s="26" t="n">
        <v>0.1</v>
      </c>
      <c r="C20" s="18">
        <f>$C$8*B20*$C$6/$C$7</f>
        <v/>
      </c>
    </row>
    <row r="21">
      <c r="B21" s="26" t="n">
        <v>0.12</v>
      </c>
      <c r="C21" s="18">
        <f>$C$8*B21*$C$6/$C$7</f>
        <v/>
      </c>
    </row>
    <row r="22">
      <c r="B22" s="26" t="n">
        <v>0.14</v>
      </c>
      <c r="C22" s="18">
        <f>$C$8*B22*$C$6/$C$7</f>
        <v/>
      </c>
    </row>
    <row r="24" ht="42" customHeight="1">
      <c r="B24" s="6" t="inlineStr">
        <is>
          <t>Catatan: yield efektif (4,5% pada return 12%) LEBIH RENDAH dari return underlying karena nisbah investor 30% dan porsi kepemilikan 80%. Bila proyek rugi, imbal hasil bisa nol — karakter sukuk variabel (bukan fixed seperti Ijarah).</t>
        </is>
      </c>
    </row>
  </sheetData>
  <mergeCells count="6">
    <mergeCell ref="B11:D11"/>
    <mergeCell ref="B3:D3"/>
    <mergeCell ref="B5:D5"/>
    <mergeCell ref="B2:D2"/>
    <mergeCell ref="B24:D24"/>
    <mergeCell ref="B16:D1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J30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8" customWidth="1" min="4" max="4"/>
    <col width="4" customWidth="1" min="5" max="5"/>
    <col width="12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2" ht="22" customHeight="1">
      <c r="B2" s="1" t="inlineStr">
        <is>
          <t>5. KOMPARATOR — SUN KONVENSIONAL vs SUKUK IJARAH</t>
        </is>
      </c>
    </row>
    <row r="3">
      <c r="B3" s="2" t="inlineStr">
        <is>
          <t>Kasus Cek Pemahaman #3: SUN kupon 7,5% vs Sukuk imbal 7,75%, YTM 8%, tenor 5 th. Harga, duration, yield premium otomatis.</t>
        </is>
      </c>
    </row>
    <row r="5" ht="16" customHeight="1">
      <c r="B5" s="7" t="inlineStr">
        <is>
          <t>INPUT (ubah sel biru)</t>
        </is>
      </c>
    </row>
    <row r="6">
      <c r="B6" s="5" t="inlineStr">
        <is>
          <t>Parameter</t>
        </is>
      </c>
      <c r="C6" s="27" t="inlineStr">
        <is>
          <t>SUN (A)</t>
        </is>
      </c>
      <c r="D6" s="27" t="inlineStr">
        <is>
          <t>Sukuk (B)</t>
        </is>
      </c>
    </row>
    <row r="7">
      <c r="B7" s="5" t="inlineStr">
        <is>
          <t>Kupon / imbal hasil (%/th)</t>
        </is>
      </c>
      <c r="C7" s="9" t="n">
        <v>0.075</v>
      </c>
      <c r="D7" s="9" t="n">
        <v>0.0775</v>
      </c>
    </row>
    <row r="8">
      <c r="B8" s="5" t="inlineStr">
        <is>
          <t>YTM pasar (%/th)</t>
        </is>
      </c>
      <c r="C8" s="9" t="n">
        <v>0.08</v>
      </c>
      <c r="D8" s="9" t="n">
        <v>0.08</v>
      </c>
    </row>
    <row r="9">
      <c r="B9" s="5" t="inlineStr">
        <is>
          <t>Tenor (tahun)</t>
        </is>
      </c>
      <c r="C9" s="10" t="n">
        <v>5</v>
      </c>
      <c r="D9" s="10" t="n">
        <v>5</v>
      </c>
    </row>
    <row r="11" ht="16" customHeight="1">
      <c r="B11" s="7" t="inlineStr">
        <is>
          <t>GRID PV &amp; DURATION (periode 1-10)</t>
        </is>
      </c>
    </row>
    <row r="12">
      <c r="F12" s="3" t="inlineStr">
        <is>
          <t>t</t>
        </is>
      </c>
      <c r="G12" s="3" t="inlineStr">
        <is>
          <t>CF_A</t>
        </is>
      </c>
      <c r="H12" s="3" t="inlineStr">
        <is>
          <t>PV_A</t>
        </is>
      </c>
      <c r="I12" s="3" t="inlineStr">
        <is>
          <t>CF_B</t>
        </is>
      </c>
      <c r="J12" s="3" t="inlineStr">
        <is>
          <t>PV_B</t>
        </is>
      </c>
    </row>
    <row r="13">
      <c r="F13" s="12">
        <f>IF(1&lt;=$C$9,1,"")</f>
        <v/>
      </c>
      <c r="G13" s="11">
        <f>IF(F13="","",IF(F13=$C$9,$C$7*$C$6+$C$6,$C$7*$C$6))</f>
        <v/>
      </c>
      <c r="H13" s="11">
        <f>IF(F13="","",G13/(1+$C$8)^F13)</f>
        <v/>
      </c>
      <c r="I13" s="11">
        <f>IF(F13="","",IF(F13=$D$9,$D$7*$D$6+$D$6,$D$7*$D$6))</f>
        <v/>
      </c>
      <c r="J13" s="11">
        <f>IF(F13="","",I13/(1+$D$8)^F13)</f>
        <v/>
      </c>
    </row>
    <row r="14">
      <c r="F14" s="12">
        <f>IF(2&lt;=$C$9,2,"")</f>
        <v/>
      </c>
      <c r="G14" s="11">
        <f>IF(F14="","",IF(F14=$C$9,$C$7*$C$6+$C$6,$C$7*$C$6))</f>
        <v/>
      </c>
      <c r="H14" s="11">
        <f>IF(F14="","",G14/(1+$C$8)^F14)</f>
        <v/>
      </c>
      <c r="I14" s="11">
        <f>IF(F14="","",IF(F14=$D$9,$D$7*$D$6+$D$6,$D$7*$D$6))</f>
        <v/>
      </c>
      <c r="J14" s="11">
        <f>IF(F14="","",I14/(1+$D$8)^F14)</f>
        <v/>
      </c>
    </row>
    <row r="15">
      <c r="F15" s="12">
        <f>IF(3&lt;=$C$9,3,"")</f>
        <v/>
      </c>
      <c r="G15" s="11">
        <f>IF(F15="","",IF(F15=$C$9,$C$7*$C$6+$C$6,$C$7*$C$6))</f>
        <v/>
      </c>
      <c r="H15" s="11">
        <f>IF(F15="","",G15/(1+$C$8)^F15)</f>
        <v/>
      </c>
      <c r="I15" s="11">
        <f>IF(F15="","",IF(F15=$D$9,$D$7*$D$6+$D$6,$D$7*$D$6))</f>
        <v/>
      </c>
      <c r="J15" s="11">
        <f>IF(F15="","",I15/(1+$D$8)^F15)</f>
        <v/>
      </c>
    </row>
    <row r="16">
      <c r="F16" s="12">
        <f>IF(4&lt;=$C$9,4,"")</f>
        <v/>
      </c>
      <c r="G16" s="11">
        <f>IF(F16="","",IF(F16=$C$9,$C$7*$C$6+$C$6,$C$7*$C$6))</f>
        <v/>
      </c>
      <c r="H16" s="11">
        <f>IF(F16="","",G16/(1+$C$8)^F16)</f>
        <v/>
      </c>
      <c r="I16" s="11">
        <f>IF(F16="","",IF(F16=$D$9,$D$7*$D$6+$D$6,$D$7*$D$6))</f>
        <v/>
      </c>
      <c r="J16" s="11">
        <f>IF(F16="","",I16/(1+$D$8)^F16)</f>
        <v/>
      </c>
    </row>
    <row r="17">
      <c r="F17" s="12">
        <f>IF(5&lt;=$C$9,5,"")</f>
        <v/>
      </c>
      <c r="G17" s="11">
        <f>IF(F17="","",IF(F17=$C$9,$C$7*$C$6+$C$6,$C$7*$C$6))</f>
        <v/>
      </c>
      <c r="H17" s="11">
        <f>IF(F17="","",G17/(1+$C$8)^F17)</f>
        <v/>
      </c>
      <c r="I17" s="11">
        <f>IF(F17="","",IF(F17=$D$9,$D$7*$D$6+$D$6,$D$7*$D$6))</f>
        <v/>
      </c>
      <c r="J17" s="11">
        <f>IF(F17="","",I17/(1+$D$8)^F17)</f>
        <v/>
      </c>
    </row>
    <row r="18">
      <c r="F18" s="12">
        <f>IF(6&lt;=$C$9,6,"")</f>
        <v/>
      </c>
      <c r="G18" s="11">
        <f>IF(F18="","",IF(F18=$C$9,$C$7*$C$6+$C$6,$C$7*$C$6))</f>
        <v/>
      </c>
      <c r="H18" s="11">
        <f>IF(F18="","",G18/(1+$C$8)^F18)</f>
        <v/>
      </c>
      <c r="I18" s="11">
        <f>IF(F18="","",IF(F18=$D$9,$D$7*$D$6+$D$6,$D$7*$D$6))</f>
        <v/>
      </c>
      <c r="J18" s="11">
        <f>IF(F18="","",I18/(1+$D$8)^F18)</f>
        <v/>
      </c>
    </row>
    <row r="19">
      <c r="F19" s="12">
        <f>IF(7&lt;=$C$9,7,"")</f>
        <v/>
      </c>
      <c r="G19" s="11">
        <f>IF(F19="","",IF(F19=$C$9,$C$7*$C$6+$C$6,$C$7*$C$6))</f>
        <v/>
      </c>
      <c r="H19" s="11">
        <f>IF(F19="","",G19/(1+$C$8)^F19)</f>
        <v/>
      </c>
      <c r="I19" s="11">
        <f>IF(F19="","",IF(F19=$D$9,$D$7*$D$6+$D$6,$D$7*$D$6))</f>
        <v/>
      </c>
      <c r="J19" s="11">
        <f>IF(F19="","",I19/(1+$D$8)^F19)</f>
        <v/>
      </c>
    </row>
    <row r="20">
      <c r="F20" s="12">
        <f>IF(8&lt;=$C$9,8,"")</f>
        <v/>
      </c>
      <c r="G20" s="11">
        <f>IF(F20="","",IF(F20=$C$9,$C$7*$C$6+$C$6,$C$7*$C$6))</f>
        <v/>
      </c>
      <c r="H20" s="11">
        <f>IF(F20="","",G20/(1+$C$8)^F20)</f>
        <v/>
      </c>
      <c r="I20" s="11">
        <f>IF(F20="","",IF(F20=$D$9,$D$7*$D$6+$D$6,$D$7*$D$6))</f>
        <v/>
      </c>
      <c r="J20" s="11">
        <f>IF(F20="","",I20/(1+$D$8)^F20)</f>
        <v/>
      </c>
    </row>
    <row r="21">
      <c r="F21" s="12">
        <f>IF(9&lt;=$C$9,9,"")</f>
        <v/>
      </c>
      <c r="G21" s="11">
        <f>IF(F21="","",IF(F21=$C$9,$C$7*$C$6+$C$6,$C$7*$C$6))</f>
        <v/>
      </c>
      <c r="H21" s="11">
        <f>IF(F21="","",G21/(1+$C$8)^F21)</f>
        <v/>
      </c>
      <c r="I21" s="11">
        <f>IF(F21="","",IF(F21=$D$9,$D$7*$D$6+$D$6,$D$7*$D$6))</f>
        <v/>
      </c>
      <c r="J21" s="11">
        <f>IF(F21="","",I21/(1+$D$8)^F21)</f>
        <v/>
      </c>
    </row>
    <row r="22">
      <c r="F22" s="12">
        <f>IF(10&lt;=$C$9,10,"")</f>
        <v/>
      </c>
      <c r="G22" s="11">
        <f>IF(F22="","",IF(F22=$C$9,$C$7*$C$6+$C$6,$C$7*$C$6))</f>
        <v/>
      </c>
      <c r="H22" s="11">
        <f>IF(F22="","",G22/(1+$C$8)^F22)</f>
        <v/>
      </c>
      <c r="I22" s="11">
        <f>IF(F22="","",IF(F22=$D$9,$D$7*$D$6+$D$6,$D$7*$D$6))</f>
        <v/>
      </c>
      <c r="J22" s="11">
        <f>IF(F22="","",I22/(1+$D$8)^F22)</f>
        <v/>
      </c>
    </row>
    <row r="24" ht="16" customHeight="1">
      <c r="B24" s="7" t="inlineStr">
        <is>
          <t>HASIL KOMPARATIF</t>
        </is>
      </c>
    </row>
    <row r="25">
      <c r="B25" s="3" t="inlineStr">
        <is>
          <t>Harga (Σ PV)</t>
        </is>
      </c>
      <c r="C25" s="13">
        <f>SUM(H13:H22)</f>
        <v/>
      </c>
      <c r="D25" s="13">
        <f>SUM(J13:J22)</f>
        <v/>
      </c>
    </row>
    <row r="26">
      <c r="B26" s="3" t="inlineStr">
        <is>
          <t>Macaulay Duration (th)</t>
        </is>
      </c>
      <c r="C26" s="17">
        <f>SUMPRODUCT(F13:F22,H13:H22)/SUM(H13:H22)</f>
        <v/>
      </c>
      <c r="D26" s="17">
        <f>SUMPRODUCT(F13:F22,J13:J22)/SUM(J13:J22)</f>
        <v/>
      </c>
    </row>
    <row r="27">
      <c r="B27" s="3" t="inlineStr">
        <is>
          <t>Modified Duration</t>
        </is>
      </c>
      <c r="C27" s="24">
        <f>C26/(1+C8)</f>
        <v/>
      </c>
      <c r="D27" s="24">
        <f>D26/(1+D8)</f>
        <v/>
      </c>
    </row>
    <row r="29">
      <c r="B29" s="3" t="inlineStr">
        <is>
          <t>Selisih imbal hasil (Sukuk − SUN)</t>
        </is>
      </c>
      <c r="C29" s="25">
        <f>D7-C7</f>
        <v/>
      </c>
    </row>
    <row r="30" ht="42" customHeight="1">
      <c r="B30" s="6" t="inlineStr">
        <is>
          <t>Sukuk (B) sedikit lebih mahal (imbal hasil 7,75% &gt; 7,5%). Duration SUN sedikit LEBIH TINGGI karena kupon lebih rendah (arus kas lebih tertumpu di pokok akhir). Yield premium sukuk = kompensasi likuiditas pasar sekunder lebih rendah.</t>
        </is>
      </c>
    </row>
  </sheetData>
  <mergeCells count="6">
    <mergeCell ref="B11:J11"/>
    <mergeCell ref="B5:D5"/>
    <mergeCell ref="B3:J3"/>
    <mergeCell ref="B30:J30"/>
    <mergeCell ref="B24:J24"/>
    <mergeCell ref="B2:J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E22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34" customWidth="1" min="3" max="3"/>
    <col width="26" customWidth="1" min="4" max="4"/>
    <col width="30" customWidth="1" min="5" max="5"/>
  </cols>
  <sheetData>
    <row r="2" ht="22" customHeight="1">
      <c r="B2" s="1" t="inlineStr">
        <is>
          <t>6. AKAD SELECTOR — 8 AKAD SUKUK</t>
        </is>
      </c>
    </row>
    <row r="3">
      <c r="B3" s="2" t="inlineStr">
        <is>
          <t>Referensi 8 akad. Pilih akad via dropdown (biru) → profil arus kas &amp; risiko muncul otomatis (INDEX/MATCH).</t>
        </is>
      </c>
    </row>
    <row r="5" ht="16" customHeight="1">
      <c r="B5" s="7" t="inlineStr">
        <is>
          <t>PILIH AKAD</t>
        </is>
      </c>
    </row>
    <row r="6">
      <c r="B6" s="5" t="inlineStr">
        <is>
          <t>Akad terpilih (dropdown)</t>
        </is>
      </c>
      <c r="C6" s="28" t="inlineStr">
        <is>
          <t>Ijarah</t>
        </is>
      </c>
    </row>
    <row r="8" ht="16" customHeight="1">
      <c r="B8" s="7" t="inlineStr">
        <is>
          <t>TABEL REFERENSI AKAD</t>
        </is>
      </c>
    </row>
    <row r="9">
      <c r="B9" s="3" t="inlineStr">
        <is>
          <t>Akad</t>
        </is>
      </c>
      <c r="C9" s="3" t="inlineStr">
        <is>
          <t>Definisi</t>
        </is>
      </c>
      <c r="D9" s="3" t="inlineStr">
        <is>
          <t>Profil Imbal Hasil</t>
        </is>
      </c>
      <c r="E9" s="3" t="inlineStr">
        <is>
          <t>Risiko Utama</t>
        </is>
      </c>
    </row>
    <row r="10" ht="28" customHeight="1">
      <c r="B10" s="3" t="inlineStr">
        <is>
          <t>Ijarah</t>
        </is>
      </c>
      <c r="C10" s="4" t="inlineStr">
        <is>
          <t>Sewa-menyewa aset (SPV sewakan ke originator)</t>
        </is>
      </c>
      <c r="D10" s="4" t="inlineStr">
        <is>
          <t>Ujrah tetap/mengambang</t>
        </is>
      </c>
      <c r="E10" s="4" t="inlineStr">
        <is>
          <t>Default originator, aset rusak</t>
        </is>
      </c>
    </row>
    <row r="11" ht="28" customHeight="1">
      <c r="B11" s="3" t="inlineStr">
        <is>
          <t>Mudharabah</t>
        </is>
      </c>
      <c r="C11" s="4" t="inlineStr">
        <is>
          <t>Kerjasama: 1 pihak modal, 1 pihak pengelola</t>
        </is>
      </c>
      <c r="D11" s="4" t="inlineStr">
        <is>
          <t>Bagi hasil (variabel, nisbah)</t>
        </is>
      </c>
      <c r="E11" s="4" t="inlineStr">
        <is>
          <t>Risiko bisnis: imbal rendah/nol</t>
        </is>
      </c>
    </row>
    <row r="12" ht="28" customHeight="1">
      <c r="B12" s="3" t="inlineStr">
        <is>
          <t>Musharakah</t>
        </is>
      </c>
      <c r="C12" s="4" t="inlineStr">
        <is>
          <t>Kerjasama: semua pihak menanam modal</t>
        </is>
      </c>
      <c r="D12" s="4" t="inlineStr">
        <is>
          <t>Bagi hasil sesuai porsi modal</t>
        </is>
      </c>
      <c r="E12" s="4" t="inlineStr">
        <is>
          <t>Semua mitra tanggung rugi</t>
        </is>
      </c>
    </row>
    <row r="13" ht="28" customHeight="1">
      <c r="B13" s="3" t="inlineStr">
        <is>
          <t>Murabahah</t>
        </is>
      </c>
      <c r="C13" s="4" t="inlineStr">
        <is>
          <t>Jual beli + margin diungkap</t>
        </is>
      </c>
      <c r="D13" s="4" t="inlineStr">
        <is>
          <t>Margin tetap</t>
        </is>
      </c>
      <c r="E13" s="4" t="inlineStr">
        <is>
          <t>Default pembeli (gagal cicil)</t>
        </is>
      </c>
    </row>
    <row r="14" ht="28" customHeight="1">
      <c r="B14" s="3" t="inlineStr">
        <is>
          <t>Istishna</t>
        </is>
      </c>
      <c r="C14" s="4" t="inlineStr">
        <is>
          <t>Jual beli barang yang akan dibuat (konstruksi)</t>
        </is>
      </c>
      <c r="D14" s="4" t="inlineStr">
        <is>
          <t>Margin harga kontrak</t>
        </is>
      </c>
      <c r="E14" s="4" t="inlineStr">
        <is>
          <t>Risiko penyelesaian konstruksi</t>
        </is>
      </c>
    </row>
    <row r="15" ht="28" customHeight="1">
      <c r="B15" s="3" t="inlineStr">
        <is>
          <t>Salam</t>
        </is>
      </c>
      <c r="C15" s="4" t="inlineStr">
        <is>
          <t>Bayar di muka, barang diserah kemudian (tani)</t>
        </is>
      </c>
      <c r="D15" s="4" t="inlineStr">
        <is>
          <t>Selisih harga (margin)</t>
        </is>
      </c>
      <c r="E15" s="4" t="inlineStr">
        <is>
          <t>Gagal panen, kualitas hasil</t>
        </is>
      </c>
    </row>
    <row r="16" ht="28" customHeight="1">
      <c r="B16" s="3" t="inlineStr">
        <is>
          <t>Wakalah</t>
        </is>
      </c>
      <c r="C16" s="4" t="inlineStr">
        <is>
          <t>Perwakilan/agen kelola investasi + fee</t>
        </is>
      </c>
      <c r="D16" s="4" t="inlineStr">
        <is>
          <t>Fee ujrah + imbal underlying</t>
        </is>
      </c>
      <c r="E16" s="4" t="inlineStr">
        <is>
          <t>Kinerja underlying, keagenan</t>
        </is>
      </c>
    </row>
    <row r="17" ht="28" customHeight="1">
      <c r="B17" s="3" t="inlineStr">
        <is>
          <t>Kombinasi</t>
        </is>
      </c>
      <c r="C17" s="4" t="inlineStr">
        <is>
          <t>Gabungan beberapa akad (Wakalah-Murabahah-Ijarah)</t>
        </is>
      </c>
      <c r="D17" s="4" t="inlineStr">
        <is>
          <t>Campuran (fixed + variabel)</t>
        </is>
      </c>
      <c r="E17" s="4" t="inlineStr">
        <is>
          <t>Kompleksitas struktur</t>
        </is>
      </c>
    </row>
    <row r="19" ht="16" customHeight="1">
      <c r="B19" s="7" t="inlineStr">
        <is>
          <t>PROFIL AKAD TERPILIH (otomatis via INDEX/MATCH)</t>
        </is>
      </c>
    </row>
    <row r="20">
      <c r="B20" s="3" t="inlineStr">
        <is>
          <t>Definisi</t>
        </is>
      </c>
      <c r="C20" s="19">
        <f>INDEX(C10:C17,MATCH(C6,B10:B17,0))</f>
        <v/>
      </c>
    </row>
    <row r="21">
      <c r="B21" s="3" t="inlineStr">
        <is>
          <t>Profil imbal hasil</t>
        </is>
      </c>
      <c r="C21" s="19">
        <f>INDEX(D10:D17,MATCH(C6,B10:B17,0))</f>
        <v/>
      </c>
    </row>
    <row r="22">
      <c r="B22" s="3" t="inlineStr">
        <is>
          <t>Risiko utama</t>
        </is>
      </c>
      <c r="C22" s="19">
        <f>INDEX(E10:E17,MATCH(C6,B10:B17,0))</f>
        <v/>
      </c>
    </row>
  </sheetData>
  <mergeCells count="5">
    <mergeCell ref="B8:E8"/>
    <mergeCell ref="B3:E3"/>
    <mergeCell ref="B19:E19"/>
    <mergeCell ref="B5:E5"/>
    <mergeCell ref="B2:E2"/>
  </mergeCells>
  <dataValidations count="1">
    <dataValidation sqref="C6" showDropDown="0" showInputMessage="0" showErrorMessage="0" allowBlank="0" type="list">
      <formula1>"Ijarah,Mudharabah,Musharakah,Murabahah,Istishna,Salam,Wakalah,Kombinasi"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2026-07-19T18:16:15Z</dcterms:created>
  <dcterms:modified xmlns:dcterms="http://purl.org/dc/terms/" xmlns:xsi="http://www.w3.org/2001/XMLSchema-instance" xsi:type="dcterms:W3CDTF">2026-07-19T18:16:15Z</dcterms:modified>
</cp:coreProperties>
</file>