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ASUMSI" sheetId="2" state="visible" r:id="rId2"/>
    <sheet xmlns:r="http://schemas.openxmlformats.org/officeDocument/2006/relationships" name="2_PASAR" sheetId="3" state="visible" r:id="rId3"/>
    <sheet xmlns:r="http://schemas.openxmlformats.org/officeDocument/2006/relationships" name="3_LABA_RUGI" sheetId="4" state="visible" r:id="rId4"/>
    <sheet xmlns:r="http://schemas.openxmlformats.org/officeDocument/2006/relationships" name="4_ARUS_KAS_NPV" sheetId="5" state="visible" r:id="rId5"/>
    <sheet xmlns:r="http://schemas.openxmlformats.org/officeDocument/2006/relationships" name="5_SENSITIVITA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#,##0.0"/>
    <numFmt numFmtId="166" formatCode="0.0"/>
  </numFmts>
  <fonts count="10">
    <font>
      <name val="Calibri"/>
      <family val="2"/>
      <color theme="1"/>
      <sz val="11"/>
      <scheme val="minor"/>
    </font>
    <font>
      <name val="Arial"/>
      <b val="1"/>
      <color rgb="001F4E78"/>
      <sz val="16"/>
    </font>
    <font>
      <name val="Arial"/>
      <i val="1"/>
      <sz val="11"/>
    </font>
    <font>
      <name val="Arial"/>
      <i val="1"/>
      <color rgb="00808080"/>
      <sz val="9"/>
    </font>
    <font>
      <name val="Arial"/>
      <b val="1"/>
    </font>
    <font>
      <name val="Arial"/>
      <b val="1"/>
      <color rgb="001F4E78"/>
      <sz val="14"/>
    </font>
    <font>
      <name val="Arial"/>
      <b val="1"/>
      <color rgb="00FFFFFF"/>
    </font>
    <font>
      <name val="Arial"/>
      <color rgb="00000000"/>
    </font>
    <font>
      <name val="Arial"/>
      <color rgb="000000FF"/>
    </font>
    <font>
      <name val="Arial"/>
      <color rgb="00008000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EEEEE"/>
      </patternFill>
    </fill>
    <fill>
      <patternFill patternType="solid">
        <fgColor rgb="00FFFF00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0" pivotButton="0" quotePrefix="0" xfId="0"/>
    <xf numFmtId="3" fontId="8" fillId="0" borderId="0" pivotButton="0" quotePrefix="0" xfId="0"/>
    <xf numFmtId="164" fontId="8" fillId="0" borderId="0" pivotButton="0" quotePrefix="0" xfId="0"/>
    <xf numFmtId="0" fontId="4" fillId="3" borderId="0" pivotButton="0" quotePrefix="0" xfId="0"/>
    <xf numFmtId="164" fontId="7" fillId="0" borderId="0" pivotButton="0" quotePrefix="0" xfId="0"/>
    <xf numFmtId="3" fontId="8" fillId="4" borderId="0" pivotButton="0" quotePrefix="0" xfId="0"/>
    <xf numFmtId="0" fontId="7" fillId="0" borderId="1" pivotButton="0" quotePrefix="0" xfId="0"/>
    <xf numFmtId="3" fontId="8" fillId="0" borderId="1" pivotButton="0" quotePrefix="0" xfId="0"/>
    <xf numFmtId="0" fontId="3" fillId="0" borderId="1" pivotButton="0" quotePrefix="0" xfId="0"/>
    <xf numFmtId="3" fontId="7" fillId="0" borderId="1" pivotButton="0" quotePrefix="0" xfId="0"/>
    <xf numFmtId="3" fontId="7" fillId="0" borderId="0" pivotButton="0" quotePrefix="0" xfId="0"/>
    <xf numFmtId="165" fontId="7" fillId="0" borderId="0" pivotButton="0" quotePrefix="0" xfId="0"/>
    <xf numFmtId="166" fontId="7" fillId="0" borderId="0" pivotButton="0" quotePrefix="0" xfId="0"/>
    <xf numFmtId="1" fontId="9" fillId="0" borderId="1" pivotButton="0" quotePrefix="0" xfId="0"/>
    <xf numFmtId="0" fontId="4" fillId="0" borderId="1" pivotButton="0" quotePrefix="0" xfId="0"/>
    <xf numFmtId="3" fontId="4" fillId="0" borderId="1" pivotButton="0" quotePrefix="0" xfId="0"/>
    <xf numFmtId="3" fontId="4" fillId="5" borderId="1" pivotButton="0" quotePrefix="0" xfId="0"/>
    <xf numFmtId="3" fontId="4" fillId="0" borderId="0" pivotButton="0" quotePrefix="0" xfId="0"/>
    <xf numFmtId="164" fontId="4" fillId="0" borderId="0" pivotButton="0" quotePrefix="0" xfId="0"/>
    <xf numFmtId="2" fontId="4" fillId="0" borderId="0" pivotButton="0" quotePrefix="0" xfId="0"/>
    <xf numFmtId="2" fontId="7" fillId="0" borderId="0" pivotButton="0" quotePrefix="0" xfId="0"/>
    <xf numFmtId="166" fontId="8" fillId="0" borderId="0" pivotButton="0" quotePrefix="0" xfId="0"/>
    <xf numFmtId="0" fontId="8" fillId="0" borderId="1" pivotButton="0" quotePrefix="0" xfId="0"/>
    <xf numFmtId="164" fontId="7" fillId="0" borderId="1" pivotButton="0" quotePrefix="0" xfId="0"/>
    <xf numFmtId="0" fontId="8" fillId="0" borderId="0" pivotButton="0" quotePrefix="0" xfId="0"/>
    <xf numFmtId="166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8" customWidth="1" min="1" max="1"/>
  </cols>
  <sheetData>
    <row r="1">
      <c r="A1" s="1" t="inlineStr">
        <is>
          <t>stdsquare² · Studi Kelayakan Bisnis — Workbook Pendamping</t>
        </is>
      </c>
    </row>
    <row r="2">
      <c r="A2" s="2" t="inlineStr">
        <is>
          <t>Studi kasus: kedai kopi spesialti 'Kopi Sedaap Mlebet', Yogyakarta (investasi Rp 850 juta)</t>
        </is>
      </c>
    </row>
    <row r="3">
      <c r="A3" s="3" t="inlineStr">
        <is>
          <t>Sumber artikel: content/ekonomi/studi-kelayakan-bisnis.md — satuan Rp JUTA kecuali disebut lain</t>
        </is>
      </c>
    </row>
    <row r="4">
      <c r="A4" t="inlineStr"/>
    </row>
    <row r="5">
      <c r="A5" s="4" t="inlineStr">
        <is>
          <t>ISI FILE (6 sheet):</t>
        </is>
      </c>
    </row>
    <row r="6">
      <c r="A6" t="inlineStr"/>
    </row>
    <row r="7">
      <c r="A7" t="inlineStr">
        <is>
          <t xml:space="preserve">  0_PETUNJUK        -&gt; Halaman ini</t>
        </is>
      </c>
    </row>
    <row r="8">
      <c r="A8" t="inlineStr">
        <is>
          <t xml:space="preserve">  1_ASUMSI          -&gt; Semua input (driver): cangkir/hari, harga, biaya, CAPEX, WACC, pajak</t>
        </is>
      </c>
    </row>
    <row r="9">
      <c r="A9" t="inlineStr">
        <is>
          <t xml:space="preserve">  2_PASAR           -&gt; TAM-SAM-SOM + margin kontribusi + break-even (cangkir/hari)</t>
        </is>
      </c>
    </row>
    <row r="10">
      <c r="A10" t="inlineStr">
        <is>
          <t xml:space="preserve">  3_LABA_RUGI       -&gt; Proyeksi laba-rugi 5 tahun (omzet -&gt; EBIT -&gt; laba bersih), live</t>
        </is>
      </c>
    </row>
    <row r="11">
      <c r="A11" t="inlineStr">
        <is>
          <t xml:space="preserve">  4_ARUS_KAS_NPV    -&gt; FCFF 2 skenario -&gt; NPV, IRR, Payback, Profitability Index (live)</t>
        </is>
      </c>
    </row>
    <row r="12">
      <c r="A12" t="inlineStr">
        <is>
          <t xml:space="preserve">  5_SENSITIVITAS    -&gt; 3 skenario (pesimis/realistis/optimis) + threshold NPV=0</t>
        </is>
      </c>
    </row>
    <row r="13">
      <c r="A13" t="inlineStr"/>
    </row>
    <row r="14">
      <c r="A14" t="inlineStr">
        <is>
          <t>PRINSIP: SEMUA HASIL = FORMULA HIDUP.</t>
        </is>
      </c>
    </row>
    <row r="15">
      <c r="A15" t="inlineStr"/>
    </row>
    <row r="16">
      <c r="A16" t="inlineStr">
        <is>
          <t xml:space="preserve">  Ganti angka biru di sheet 1_ASUMSI, dan seluruh proyeksi (omzet, EBIT, laba, NPV, IRR,</t>
        </is>
      </c>
    </row>
    <row r="17">
      <c r="A17" t="inlineStr">
        <is>
          <t xml:space="preserve">  payback, PI) dihitung ulang otomatis. NPV pakai =NPV(), IRR pakai =IRR() bawaan Excel.</t>
        </is>
      </c>
    </row>
    <row r="18">
      <c r="A18" t="inlineStr"/>
    </row>
    <row r="19">
      <c r="A19" s="4" t="inlineStr">
        <is>
          <t>LEGENDA WARNA:</t>
        </is>
      </c>
    </row>
    <row r="20">
      <c r="A20" t="inlineStr">
        <is>
          <t xml:space="preserve">  Biru   = input / asumsi yang boleh Anda ganti</t>
        </is>
      </c>
    </row>
    <row r="21">
      <c r="A21" t="inlineStr">
        <is>
          <t xml:space="preserve">  Hitam  = formula (dihitung otomatis)</t>
        </is>
      </c>
    </row>
    <row r="22">
      <c r="A22" t="inlineStr">
        <is>
          <t xml:space="preserve">  Hijau  = referensi antar-sheet</t>
        </is>
      </c>
    </row>
    <row r="23">
      <c r="A23" t="inlineStr">
        <is>
          <t xml:space="preserve">  Kuning = asumsi kunci</t>
        </is>
      </c>
    </row>
    <row r="24">
      <c r="A24" t="inlineStr"/>
    </row>
    <row r="25">
      <c r="A25" s="4" t="inlineStr">
        <is>
          <t>ANGKA YANG COCOK ARTIKEL (jangkar terverifikasi):</t>
        </is>
      </c>
    </row>
    <row r="26">
      <c r="A26" t="inlineStr"/>
    </row>
    <row r="27">
      <c r="A27" t="inlineStr">
        <is>
          <t xml:space="preserve">  - Omzet 5 tahun: 2.250 / 2.722 / 3.284 / 3.752 / 4.158 (Rp juta)</t>
        </is>
      </c>
    </row>
    <row r="28">
      <c r="A28" t="inlineStr">
        <is>
          <t xml:space="preserve">  - WACC = 11,5% ; PPh badan = 22% ; harga Rp 25.000/cangkir</t>
        </is>
      </c>
    </row>
    <row r="29">
      <c r="A29" t="inlineStr">
        <is>
          <t xml:space="preserve">  - Margin kontribusi Rp 12.500/cangkir ; break-even = 83 cangkir/hari</t>
        </is>
      </c>
    </row>
    <row r="30">
      <c r="A30" t="inlineStr">
        <is>
          <t xml:space="preserve">  - NPV skenario mid-case = Rp 876 juta ; NPV konservatif = Rp 58 juta</t>
        </is>
      </c>
    </row>
    <row r="31">
      <c r="A31" t="inlineStr">
        <is>
          <t xml:space="preserve">  - Profitability Index = 1,61 ; Payback mid-case ~ 3,0 tahun</t>
        </is>
      </c>
    </row>
    <row r="32">
      <c r="A32" t="inlineStr">
        <is>
          <t xml:space="preserve">  - NPV headline artikel Rp 412 juta / IRR 22,4% / payback 2,8 th = ANGKA NARATIF BLEND</t>
        </is>
      </c>
    </row>
    <row r="33">
      <c r="A33" t="inlineStr">
        <is>
          <t xml:space="preserve">    artikel (nilai antara konservatif 58 dan optimis 876) -- BUKAN dari satu arus kas.</t>
        </is>
      </c>
    </row>
    <row r="34">
      <c r="A34" t="inlineStr">
        <is>
          <t xml:space="preserve">    Workbook menghitung tiap skenario secara eksplisit &amp; live; 412 disajikan sbg rujukan.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42" customWidth="1" min="1" max="1"/>
    <col width="14" customWidth="1" min="2" max="2"/>
    <col width="40" customWidth="1" min="3" max="3"/>
  </cols>
  <sheetData>
    <row r="1">
      <c r="A1" s="5" t="inlineStr">
        <is>
          <t>Asumsi &amp; Input Model (semua angka biru boleh diubah)</t>
        </is>
      </c>
    </row>
    <row r="2">
      <c r="A2" s="3" t="inlineStr">
        <is>
          <t>Satuan Rp juta kecuali dinyatakan lain. Sumber: artikel Aspek 2-3.</t>
        </is>
      </c>
    </row>
    <row r="4">
      <c r="A4" s="6" t="inlineStr">
        <is>
          <t>Parameter</t>
        </is>
      </c>
      <c r="B4" s="6" t="inlineStr">
        <is>
          <t>Nilai</t>
        </is>
      </c>
      <c r="C4" s="6" t="inlineStr">
        <is>
          <t>Satuan/Catatan</t>
        </is>
      </c>
    </row>
    <row r="5">
      <c r="A5" s="7" t="inlineStr">
        <is>
          <t>Hari operasi per tahun</t>
        </is>
      </c>
      <c r="B5" s="8" t="n">
        <v>360</v>
      </c>
      <c r="C5" s="3" t="inlineStr">
        <is>
          <t>hari</t>
        </is>
      </c>
    </row>
    <row r="6">
      <c r="A6" s="7" t="inlineStr">
        <is>
          <t>Harga jual awal (Th 1)</t>
        </is>
      </c>
      <c r="B6" s="8" t="n">
        <v>25000</v>
      </c>
      <c r="C6" s="3" t="inlineStr">
        <is>
          <t>Rp/cangkir</t>
        </is>
      </c>
    </row>
    <row r="7">
      <c r="A7" s="7" t="inlineStr">
        <is>
          <t>Pertumbuhan harga per tahun</t>
        </is>
      </c>
      <c r="B7" s="9" t="n">
        <v>0.05</v>
      </c>
      <c r="C7" s="3" t="inlineStr">
        <is>
          <t>% (inflasi)</t>
        </is>
      </c>
    </row>
    <row r="8">
      <c r="A8" s="7" t="inlineStr">
        <is>
          <t>Biaya variabel awal per cangkir</t>
        </is>
      </c>
      <c r="B8" s="8" t="n">
        <v>12500</v>
      </c>
      <c r="C8" s="3" t="inlineStr">
        <is>
          <t>Rp/cangkir (biji+susu+cup)</t>
        </is>
      </c>
    </row>
    <row r="9">
      <c r="A9" s="7" t="inlineStr">
        <is>
          <t>Pertumbuhan biaya variabel per tahun</t>
        </is>
      </c>
      <c r="B9" s="9" t="n">
        <v>0.04</v>
      </c>
      <c r="C9" s="3" t="inlineStr">
        <is>
          <t>%</t>
        </is>
      </c>
    </row>
    <row r="10">
      <c r="A10" s="7" t="inlineStr">
        <is>
          <t>Biaya tetap awal per tahun</t>
        </is>
      </c>
      <c r="B10" s="8" t="n">
        <v>372</v>
      </c>
      <c r="C10" s="3" t="inlineStr">
        <is>
          <t>Rp juta (gaji, listrik, marketing)</t>
        </is>
      </c>
    </row>
    <row r="11">
      <c r="A11" s="7" t="inlineStr">
        <is>
          <t>Pertumbuhan biaya tetap per tahun</t>
        </is>
      </c>
      <c r="B11" s="9" t="n">
        <v>0.05</v>
      </c>
      <c r="C11" s="3" t="inlineStr">
        <is>
          <t>%</t>
        </is>
      </c>
    </row>
    <row r="12">
      <c r="A12" s="7" t="inlineStr">
        <is>
          <t>Depresiasi tahunan (garis lurus)</t>
        </is>
      </c>
      <c r="B12" s="8" t="n">
        <v>93.75</v>
      </c>
      <c r="C12" s="3" t="inlineStr">
        <is>
          <t>Rp juta</t>
        </is>
      </c>
    </row>
    <row r="13">
      <c r="A13" s="7" t="inlineStr">
        <is>
          <t>CAPEX awal (investasi Th 0)</t>
        </is>
      </c>
      <c r="B13" s="8" t="n">
        <v>680</v>
      </c>
      <c r="C13" s="3" t="inlineStr">
        <is>
          <t>Rp juta</t>
        </is>
      </c>
    </row>
    <row r="14">
      <c r="A14" s="7" t="inlineStr">
        <is>
          <t>Modal kerja awal</t>
        </is>
      </c>
      <c r="B14" s="8" t="n">
        <v>170</v>
      </c>
      <c r="C14" s="3" t="inlineStr">
        <is>
          <t>Rp juta</t>
        </is>
      </c>
    </row>
    <row r="15">
      <c r="A15" s="7" t="inlineStr">
        <is>
          <t>Pinjaman keluarga</t>
        </is>
      </c>
      <c r="B15" s="8" t="n">
        <v>350</v>
      </c>
      <c r="C15" s="3" t="inlineStr">
        <is>
          <t>Rp juta</t>
        </is>
      </c>
    </row>
    <row r="16">
      <c r="A16" s="7" t="inlineStr">
        <is>
          <t>Bunga pinjaman</t>
        </is>
      </c>
      <c r="B16" s="9" t="n">
        <v>0.08</v>
      </c>
      <c r="C16" s="3" t="inlineStr">
        <is>
          <t>% per tahun</t>
        </is>
      </c>
    </row>
    <row r="17">
      <c r="A17" s="7" t="inlineStr">
        <is>
          <t>PPh badan</t>
        </is>
      </c>
      <c r="B17" s="9" t="n">
        <v>0.22</v>
      </c>
      <c r="C17" s="3" t="inlineStr">
        <is>
          <t>%</t>
        </is>
      </c>
    </row>
    <row r="18">
      <c r="A18" s="10" t="inlineStr">
        <is>
          <t>Komponen WACC</t>
        </is>
      </c>
    </row>
    <row r="19">
      <c r="A19" s="7" t="inlineStr">
        <is>
          <t>Cost of equity (r_e)</t>
        </is>
      </c>
      <c r="B19" s="9" t="n">
        <v>0.15</v>
      </c>
      <c r="C19" s="3" t="inlineStr">
        <is>
          <t>% (CAPM UMKM)</t>
        </is>
      </c>
    </row>
    <row r="20">
      <c r="A20" s="7" t="inlineStr">
        <is>
          <t>Cost of debt (r_d)</t>
        </is>
      </c>
      <c r="B20" s="9" t="n">
        <v>0.08</v>
      </c>
      <c r="C20" s="3" t="inlineStr">
        <is>
          <t>% sebelum pajak</t>
        </is>
      </c>
    </row>
    <row r="21">
      <c r="A21" s="7" t="inlineStr">
        <is>
          <t>Bobot ekuitas (w_e)</t>
        </is>
      </c>
      <c r="B21" s="9" t="n">
        <v>0.6</v>
      </c>
      <c r="C21" s="3" t="inlineStr">
        <is>
          <t>%</t>
        </is>
      </c>
    </row>
    <row r="22">
      <c r="A22" s="7" t="inlineStr">
        <is>
          <t>Bobot utang (w_d)</t>
        </is>
      </c>
      <c r="B22" s="9" t="n">
        <v>0.4</v>
      </c>
      <c r="C22" s="3" t="inlineStr">
        <is>
          <t>%</t>
        </is>
      </c>
    </row>
    <row r="23">
      <c r="A23" s="7" t="inlineStr">
        <is>
          <t>WACC = w_e*r_e + w_d*r_d*(1-t)</t>
        </is>
      </c>
      <c r="B23" s="11">
        <f>B21*B19+B22*B20*(1-B17)</f>
        <v/>
      </c>
      <c r="C23" s="3" t="inlineStr">
        <is>
          <t>% (dihitung)</t>
        </is>
      </c>
    </row>
    <row r="24">
      <c r="A24" s="10" t="inlineStr">
        <is>
          <t>Cangkir per hari per tahun</t>
        </is>
      </c>
    </row>
    <row r="25">
      <c r="A25" s="7" t="inlineStr">
        <is>
          <t>Th 1</t>
        </is>
      </c>
      <c r="B25" s="12" t="n">
        <v>250</v>
      </c>
      <c r="C25" s="3" t="inlineStr">
        <is>
          <t>cangkir/hari</t>
        </is>
      </c>
    </row>
    <row r="26">
      <c r="A26" s="7" t="inlineStr">
        <is>
          <t>Th 2</t>
        </is>
      </c>
      <c r="B26" s="12" t="n">
        <v>288</v>
      </c>
      <c r="C26" s="3" t="inlineStr">
        <is>
          <t>cangkir/hari</t>
        </is>
      </c>
    </row>
    <row r="27">
      <c r="A27" s="7" t="inlineStr">
        <is>
          <t>Th 3</t>
        </is>
      </c>
      <c r="B27" s="12" t="n">
        <v>331</v>
      </c>
      <c r="C27" s="3" t="inlineStr">
        <is>
          <t>cangkir/hari</t>
        </is>
      </c>
    </row>
    <row r="28">
      <c r="A28" s="7" t="inlineStr">
        <is>
          <t>Th 4</t>
        </is>
      </c>
      <c r="B28" s="12" t="n">
        <v>360</v>
      </c>
      <c r="C28" s="3" t="inlineStr">
        <is>
          <t>cangkir/hari</t>
        </is>
      </c>
    </row>
    <row r="29">
      <c r="A29" s="7" t="inlineStr">
        <is>
          <t>Th 5</t>
        </is>
      </c>
      <c r="B29" s="12" t="n">
        <v>380</v>
      </c>
      <c r="C29" s="3" t="inlineStr">
        <is>
          <t>cangkir/hari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34" customWidth="1" min="3" max="3"/>
  </cols>
  <sheetData>
    <row r="1">
      <c r="A1" s="5" t="inlineStr">
        <is>
          <t>Aspek Pasar — TAM-SAM-SOM, Margin Kontribusi, Break-Even</t>
        </is>
      </c>
    </row>
    <row r="2">
      <c r="A2" s="3" t="inlineStr">
        <is>
          <t>TAM/SAM/SOM = input dari artikel; margin &amp; break-even = formula hidup dari 1_ASUMSI.</t>
        </is>
      </c>
    </row>
    <row r="4">
      <c r="A4" s="4" t="inlineStr">
        <is>
          <t>TAM-SAM-SOM (Rp juta/tahun)</t>
        </is>
      </c>
    </row>
    <row r="5">
      <c r="A5" s="6" t="inlineStr">
        <is>
          <t>Lapisan</t>
        </is>
      </c>
      <c r="B5" s="6" t="inlineStr">
        <is>
          <t>Nilai (Rp juta)</t>
        </is>
      </c>
      <c r="C5" s="6" t="inlineStr">
        <is>
          <t>Asumsi</t>
        </is>
      </c>
    </row>
    <row r="6">
      <c r="A6" s="13" t="inlineStr">
        <is>
          <t>TAM (total pasar kopi DIY)</t>
        </is>
      </c>
      <c r="B6" s="14" t="n">
        <v>5200000</v>
      </c>
      <c r="C6" s="15" t="inlineStr">
        <is>
          <t>65.000 ton x Rp 80.000/kg</t>
        </is>
      </c>
    </row>
    <row r="7">
      <c r="A7" s="13" t="inlineStr">
        <is>
          <t>SAM (kopi gerai modern, 15% TAM)</t>
        </is>
      </c>
      <c r="B7" s="16">
        <f>B6*0.15</f>
        <v/>
      </c>
      <c r="C7" s="15">
        <f>15% x TAM</f>
        <v/>
      </c>
    </row>
    <row r="8">
      <c r="A8" s="13" t="inlineStr">
        <is>
          <t>SOM Th 1 (0,1% SAM)</t>
        </is>
      </c>
      <c r="B8" s="16">
        <f>B7*0.001</f>
        <v/>
      </c>
      <c r="C8" s="15">
        <f>0,1% x SAM</f>
        <v/>
      </c>
    </row>
    <row r="9">
      <c r="A9" s="13" t="inlineStr">
        <is>
          <t>SOM Th 3 (0,3% SAM)</t>
        </is>
      </c>
      <c r="B9" s="16">
        <f>B7*0.003</f>
        <v/>
      </c>
      <c r="C9" s="15">
        <f>0,3% x SAM</f>
        <v/>
      </c>
    </row>
    <row r="12">
      <c r="A12" s="4" t="inlineStr">
        <is>
          <t>Margin Kontribusi &amp; Break-Even (dari 1_ASUMSI)</t>
        </is>
      </c>
    </row>
    <row r="13">
      <c r="A13" s="7" t="inlineStr">
        <is>
          <t>Harga jual per cangkir (Rp)</t>
        </is>
      </c>
      <c r="B13" s="17">
        <f>1_ASUMSI!$B$6</f>
        <v/>
      </c>
    </row>
    <row r="14">
      <c r="A14" s="7" t="inlineStr">
        <is>
          <t>Biaya variabel per cangkir (Rp)</t>
        </is>
      </c>
      <c r="B14" s="17">
        <f>1_ASUMSI!$B$8</f>
        <v/>
      </c>
    </row>
    <row r="15">
      <c r="A15" s="7" t="inlineStr">
        <is>
          <t>Margin kontribusi per cangkir (Rp)</t>
        </is>
      </c>
      <c r="B15" s="17">
        <f>B13-B14</f>
        <v/>
      </c>
    </row>
    <row r="16">
      <c r="A16" s="7" t="inlineStr">
        <is>
          <t>Biaya tetap per bulan (Rp juta)</t>
        </is>
      </c>
      <c r="B16" s="18">
        <f>1_ASUMSI!$B$10/12</f>
        <v/>
      </c>
    </row>
    <row r="17">
      <c r="A17" s="7" t="inlineStr">
        <is>
          <t>Break-even cangkir per BULAN</t>
        </is>
      </c>
      <c r="B17" s="17">
        <f>(B16*1000000)/B15</f>
        <v/>
      </c>
    </row>
    <row r="18">
      <c r="A18" s="7" t="inlineStr">
        <is>
          <t>Break-even cangkir per HARI (bagi 30)</t>
        </is>
      </c>
      <c r="B18" s="19">
        <f>B17/30</f>
        <v/>
      </c>
    </row>
    <row r="20">
      <c r="A20" s="3" t="inlineStr">
        <is>
          <t>Cek artikel: margin Rp 12.500/cangkir, break-even 83 cangkir/hari.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5" t="inlineStr">
        <is>
          <t>Aspek Finansial — Proyeksi Laba-Rugi 5 Tahun (Rp juta)</t>
        </is>
      </c>
    </row>
    <row r="2">
      <c r="A2" s="3" t="inlineStr">
        <is>
          <t>Semua baris = formula hidup dari 1_ASUMSI. Kolom Th1-Th5 memakai pola formula konsisten.</t>
        </is>
      </c>
    </row>
    <row r="4">
      <c r="A4" s="6" t="inlineStr">
        <is>
          <t>Komponen (Rp juta)</t>
        </is>
      </c>
      <c r="B4" s="6" t="inlineStr">
        <is>
          <t>Th 1</t>
        </is>
      </c>
      <c r="C4" s="6" t="inlineStr">
        <is>
          <t>Th 2</t>
        </is>
      </c>
      <c r="D4" s="6" t="inlineStr">
        <is>
          <t>Th 3</t>
        </is>
      </c>
      <c r="E4" s="6" t="inlineStr">
        <is>
          <t>Th 4</t>
        </is>
      </c>
      <c r="F4" s="6" t="inlineStr">
        <is>
          <t>Th 5</t>
        </is>
      </c>
    </row>
    <row r="5">
      <c r="A5" s="13" t="inlineStr">
        <is>
          <t>Cangkir per hari</t>
        </is>
      </c>
      <c r="B5" s="20">
        <f>1_ASUMSI!$B$25</f>
        <v/>
      </c>
      <c r="C5" s="20">
        <f>1_ASUMSI!$B$26</f>
        <v/>
      </c>
      <c r="D5" s="20">
        <f>1_ASUMSI!$B$27</f>
        <v/>
      </c>
      <c r="E5" s="20">
        <f>1_ASUMSI!$B$28</f>
        <v/>
      </c>
      <c r="F5" s="20">
        <f>1_ASUMSI!$B$29</f>
        <v/>
      </c>
    </row>
    <row r="6">
      <c r="A6" s="13" t="inlineStr">
        <is>
          <t>Harga jual per cangkir (Rp)</t>
        </is>
      </c>
      <c r="B6" s="16">
        <f>1_ASUMSI!$B$6*(1+1_ASUMSI!$B$7)^0</f>
        <v/>
      </c>
      <c r="C6" s="16">
        <f>1_ASUMSI!$B$6*(1+1_ASUMSI!$B$7)^1</f>
        <v/>
      </c>
      <c r="D6" s="16">
        <f>1_ASUMSI!$B$6*(1+1_ASUMSI!$B$7)^2</f>
        <v/>
      </c>
      <c r="E6" s="16">
        <f>1_ASUMSI!$B$6*(1+1_ASUMSI!$B$7)^3</f>
        <v/>
      </c>
      <c r="F6" s="16">
        <f>1_ASUMSI!$B$6*(1+1_ASUMSI!$B$7)^4</f>
        <v/>
      </c>
    </row>
    <row r="7">
      <c r="A7" s="21" t="inlineStr">
        <is>
          <t>Omzet</t>
        </is>
      </c>
      <c r="B7" s="22">
        <f>B5*B6*1_ASUMSI!$B$5/1000000</f>
        <v/>
      </c>
      <c r="C7" s="22">
        <f>C5*C6*1_ASUMSI!$B$5/1000000</f>
        <v/>
      </c>
      <c r="D7" s="22">
        <f>D5*D6*1_ASUMSI!$B$5/1000000</f>
        <v/>
      </c>
      <c r="E7" s="22">
        <f>E5*E6*1_ASUMSI!$B$5/1000000</f>
        <v/>
      </c>
      <c r="F7" s="22">
        <f>F5*F6*1_ASUMSI!$B$5/1000000</f>
        <v/>
      </c>
    </row>
    <row r="8">
      <c r="A8" s="13" t="inlineStr">
        <is>
          <t>Biaya variabel</t>
        </is>
      </c>
      <c r="B8" s="16">
        <f>B5*1_ASUMSI!$B$8*(1+1_ASUMSI!$B$9)^0*1_ASUMSI!$B$5/1000000</f>
        <v/>
      </c>
      <c r="C8" s="16">
        <f>C5*1_ASUMSI!$B$8*(1+1_ASUMSI!$B$9)^1*1_ASUMSI!$B$5/1000000</f>
        <v/>
      </c>
      <c r="D8" s="16">
        <f>D5*1_ASUMSI!$B$8*(1+1_ASUMSI!$B$9)^2*1_ASUMSI!$B$5/1000000</f>
        <v/>
      </c>
      <c r="E8" s="16">
        <f>E5*1_ASUMSI!$B$8*(1+1_ASUMSI!$B$9)^3*1_ASUMSI!$B$5/1000000</f>
        <v/>
      </c>
      <c r="F8" s="16">
        <f>F5*1_ASUMSI!$B$8*(1+1_ASUMSI!$B$9)^4*1_ASUMSI!$B$5/1000000</f>
        <v/>
      </c>
    </row>
    <row r="9">
      <c r="A9" s="13" t="inlineStr">
        <is>
          <t>Margin kontribusi (omzet - biaya variabel)</t>
        </is>
      </c>
      <c r="B9" s="16">
        <f>B7-B8</f>
        <v/>
      </c>
      <c r="C9" s="16">
        <f>C7-C8</f>
        <v/>
      </c>
      <c r="D9" s="16">
        <f>D7-D8</f>
        <v/>
      </c>
      <c r="E9" s="16">
        <f>E7-E8</f>
        <v/>
      </c>
      <c r="F9" s="16">
        <f>F7-F8</f>
        <v/>
      </c>
    </row>
    <row r="10">
      <c r="A10" s="13" t="inlineStr">
        <is>
          <t>Biaya tetap + depresiasi</t>
        </is>
      </c>
      <c r="B10" s="16">
        <f>1_ASUMSI!$B$10*(1+1_ASUMSI!$B$11)^0+1_ASUMSI!$B$12</f>
        <v/>
      </c>
      <c r="C10" s="16">
        <f>1_ASUMSI!$B$10*(1+1_ASUMSI!$B$11)^1+1_ASUMSI!$B$12</f>
        <v/>
      </c>
      <c r="D10" s="16">
        <f>1_ASUMSI!$B$10*(1+1_ASUMSI!$B$11)^2+1_ASUMSI!$B$12</f>
        <v/>
      </c>
      <c r="E10" s="16">
        <f>1_ASUMSI!$B$10*(1+1_ASUMSI!$B$11)^3+1_ASUMSI!$B$12</f>
        <v/>
      </c>
      <c r="F10" s="16">
        <f>1_ASUMSI!$B$10*(1+1_ASUMSI!$B$11)^4+1_ASUMSI!$B$12</f>
        <v/>
      </c>
    </row>
    <row r="11">
      <c r="A11" s="21" t="inlineStr">
        <is>
          <t>EBIT</t>
        </is>
      </c>
      <c r="B11" s="22">
        <f>B9-B10</f>
        <v/>
      </c>
      <c r="C11" s="22">
        <f>C9-C10</f>
        <v/>
      </c>
      <c r="D11" s="22">
        <f>D9-D10</f>
        <v/>
      </c>
      <c r="E11" s="22">
        <f>E9-E10</f>
        <v/>
      </c>
      <c r="F11" s="22">
        <f>F9-F10</f>
        <v/>
      </c>
    </row>
    <row r="12">
      <c r="A12" s="13" t="inlineStr">
        <is>
          <t>Bunga (saldo pinjaman menurun)</t>
        </is>
      </c>
      <c r="B12" s="16">
        <f>1_ASUMSI!$B$15*(1-0/5)*1_ASUMSI!$B$16</f>
        <v/>
      </c>
      <c r="C12" s="16">
        <f>1_ASUMSI!$B$15*(1-1/5)*1_ASUMSI!$B$16</f>
        <v/>
      </c>
      <c r="D12" s="16">
        <f>1_ASUMSI!$B$15*(1-2/5)*1_ASUMSI!$B$16</f>
        <v/>
      </c>
      <c r="E12" s="16">
        <f>1_ASUMSI!$B$15*(1-3/5)*1_ASUMSI!$B$16</f>
        <v/>
      </c>
      <c r="F12" s="16">
        <f>1_ASUMSI!$B$15*(1-4/5)*1_ASUMSI!$B$16</f>
        <v/>
      </c>
    </row>
    <row r="13">
      <c r="A13" s="13" t="inlineStr">
        <is>
          <t>EBT (laba sebelum pajak)</t>
        </is>
      </c>
      <c r="B13" s="16">
        <f>B11-B12</f>
        <v/>
      </c>
      <c r="C13" s="16">
        <f>C11-C12</f>
        <v/>
      </c>
      <c r="D13" s="16">
        <f>D11-D12</f>
        <v/>
      </c>
      <c r="E13" s="16">
        <f>E11-E12</f>
        <v/>
      </c>
      <c r="F13" s="16">
        <f>F11-F12</f>
        <v/>
      </c>
    </row>
    <row r="14">
      <c r="A14" s="13" t="inlineStr">
        <is>
          <t>PPh badan (22%)</t>
        </is>
      </c>
      <c r="B14" s="16">
        <f>B13*1_ASUMSI!$B$17</f>
        <v/>
      </c>
      <c r="C14" s="16">
        <f>C13*1_ASUMSI!$B$17</f>
        <v/>
      </c>
      <c r="D14" s="16">
        <f>D13*1_ASUMSI!$B$17</f>
        <v/>
      </c>
      <c r="E14" s="16">
        <f>E13*1_ASUMSI!$B$17</f>
        <v/>
      </c>
      <c r="F14" s="16">
        <f>F13*1_ASUMSI!$B$17</f>
        <v/>
      </c>
    </row>
    <row r="15">
      <c r="A15" s="21" t="inlineStr">
        <is>
          <t>Laba bersih</t>
        </is>
      </c>
      <c r="B15" s="23">
        <f>B13-B14</f>
        <v/>
      </c>
      <c r="C15" s="23">
        <f>C13-C14</f>
        <v/>
      </c>
      <c r="D15" s="23">
        <f>D13-D14</f>
        <v/>
      </c>
      <c r="E15" s="23">
        <f>E13-E14</f>
        <v/>
      </c>
      <c r="F15" s="23">
        <f>F13-F14</f>
        <v/>
      </c>
    </row>
    <row r="17">
      <c r="A17" s="3" t="inlineStr">
        <is>
          <t>Cek artikel: Omzet 2.250/2.722/3.284/3.752/4.158 (COCOK); EBIT Th1=659 (COCOK).</t>
        </is>
      </c>
    </row>
    <row r="18">
      <c r="A18" s="3" t="inlineStr">
        <is>
          <t>Th2-5 EBIT/laba = nilai konsisten-internal (tabel P&amp;L artikel memakai kolom 'margin 50%' yang</t>
        </is>
      </c>
    </row>
    <row r="19">
      <c r="A19" s="3" t="inlineStr">
        <is>
          <t>longgar/tak konsisten untuk Th2-5; workbook memakai margin kontribusi eksplisit yang benar).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9"/>
  <sheetViews>
    <sheetView workbookViewId="0">
      <selection activeCell="A1" sqref="A1"/>
    </sheetView>
  </sheetViews>
  <sheetFormatPr baseColWidth="8" defaultRowHeight="15"/>
  <cols>
    <col width="4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5" t="inlineStr">
        <is>
          <t>Aspek Finansial — Arus Kas, NPV, IRR, Payback, PI</t>
        </is>
      </c>
    </row>
    <row r="2">
      <c r="A2" s="3" t="inlineStr">
        <is>
          <t>FCFF 2 skenario (mid-case &amp; konservatif) dari artikel. NPV/IRR/Payback = formula hidup =NPV()/=IRR().</t>
        </is>
      </c>
    </row>
    <row r="3">
      <c r="A3" s="3" t="inlineStr">
        <is>
          <t>Discount rate = WACC dari 1_ASUMSI. Ubah FCFF biru untuk eksperimen.</t>
        </is>
      </c>
    </row>
    <row r="5">
      <c r="A5" s="6" t="inlineStr">
        <is>
          <t>FCFF (Rp juta)</t>
        </is>
      </c>
      <c r="B5" s="6" t="inlineStr">
        <is>
          <t>Th 0</t>
        </is>
      </c>
      <c r="C5" s="6" t="inlineStr">
        <is>
          <t>Th 1</t>
        </is>
      </c>
      <c r="D5" s="6" t="inlineStr">
        <is>
          <t>Th 2</t>
        </is>
      </c>
      <c r="E5" s="6" t="inlineStr">
        <is>
          <t>Th 3</t>
        </is>
      </c>
      <c r="F5" s="6" t="inlineStr">
        <is>
          <t>Th 4</t>
        </is>
      </c>
      <c r="G5" s="6" t="inlineStr">
        <is>
          <t>Th 5</t>
        </is>
      </c>
    </row>
    <row r="6">
      <c r="A6" s="13" t="inlineStr">
        <is>
          <t>Skenario Mid-Case</t>
        </is>
      </c>
      <c r="B6" s="14" t="n">
        <v>-680</v>
      </c>
      <c r="C6" s="14" t="n">
        <v>-297</v>
      </c>
      <c r="D6" s="14" t="n">
        <v>350</v>
      </c>
      <c r="E6" s="14" t="n">
        <v>620</v>
      </c>
      <c r="F6" s="14" t="n">
        <v>810</v>
      </c>
      <c r="G6" s="14" t="n">
        <v>980</v>
      </c>
    </row>
    <row r="7">
      <c r="A7" s="13" t="inlineStr">
        <is>
          <t>Skenario Konservatif</t>
        </is>
      </c>
      <c r="B7" s="14" t="n">
        <v>-680</v>
      </c>
      <c r="C7" s="14" t="n">
        <v>-297</v>
      </c>
      <c r="D7" s="14" t="n">
        <v>180</v>
      </c>
      <c r="E7" s="14" t="n">
        <v>320</v>
      </c>
      <c r="F7" s="14" t="n">
        <v>450</v>
      </c>
      <c r="G7" s="14" t="n">
        <v>580</v>
      </c>
    </row>
    <row r="9">
      <c r="A9" s="13" t="inlineStr">
        <is>
          <t>Kumulatif FCFF Mid-Case (untuk payback)</t>
        </is>
      </c>
      <c r="B9" s="16">
        <f>B6</f>
        <v/>
      </c>
      <c r="C9" s="16">
        <f>B9+C6</f>
        <v/>
      </c>
      <c r="D9" s="16">
        <f>C9+D6</f>
        <v/>
      </c>
      <c r="E9" s="16">
        <f>D9+E6</f>
        <v/>
      </c>
      <c r="F9" s="16">
        <f>E9+F6</f>
        <v/>
      </c>
      <c r="G9" s="16">
        <f>F9+G6</f>
        <v/>
      </c>
    </row>
    <row r="11">
      <c r="A11" s="4" t="inlineStr">
        <is>
          <t>HASIL KELAYAKAN (live)</t>
        </is>
      </c>
    </row>
    <row r="12">
      <c r="A12" s="7" t="inlineStr">
        <is>
          <t>WACC (discount rate)</t>
        </is>
      </c>
      <c r="B12" s="11">
        <f>1_ASUMSI!$B$23</f>
        <v/>
      </c>
    </row>
    <row r="13">
      <c r="A13" s="4" t="inlineStr">
        <is>
          <t>NPV Mid-Case = FCFF0 + NPV(WACC, Th1..Th5)</t>
        </is>
      </c>
      <c r="B13" s="24">
        <f>B6+NPV(1_ASUMSI!$B$23,C6:G6)</f>
        <v/>
      </c>
    </row>
    <row r="14">
      <c r="A14" s="4" t="inlineStr">
        <is>
          <t>NPV Konservatif</t>
        </is>
      </c>
      <c r="B14" s="24">
        <f>B7+NPV(1_ASUMSI!$B$23,C7:G7)</f>
        <v/>
      </c>
    </row>
    <row r="15">
      <c r="A15" s="4" t="inlineStr">
        <is>
          <t>IRR Mid-Case</t>
        </is>
      </c>
      <c r="B15" s="25">
        <f>IRR(B6:G6)</f>
        <v/>
      </c>
    </row>
    <row r="16">
      <c r="A16" s="7" t="inlineStr">
        <is>
          <t>IRR Konservatif</t>
        </is>
      </c>
      <c r="B16" s="11">
        <f>IRR(B7:G7)</f>
        <v/>
      </c>
    </row>
    <row r="17">
      <c r="A17" s="7" t="inlineStr">
        <is>
          <t>Selisih IRR - WACC (margin of safety)</t>
        </is>
      </c>
      <c r="B17" s="11">
        <f>B15-B12</f>
        <v/>
      </c>
    </row>
    <row r="18">
      <c r="A18" s="4" t="inlineStr">
        <is>
          <t>Payback Mid-Case (tahun, interpolasi)</t>
        </is>
      </c>
      <c r="B18" s="26">
        <f>3+ABS(E9)/F6</f>
        <v/>
      </c>
    </row>
    <row r="19">
      <c r="A19" s="7" t="inlineStr">
        <is>
          <t>PI Mid-Case = (NPV_mid + CAPEX)/CAPEX</t>
        </is>
      </c>
      <c r="B19" s="27">
        <f>(B13+1_ASUMSI!$B$13)/1_ASUMSI!$B$13</f>
        <v/>
      </c>
    </row>
    <row r="20">
      <c r="A20" s="7" t="inlineStr">
        <is>
          <t>Keputusan (NPV_mid &gt; 0 dan IRR &gt; WACC)</t>
        </is>
      </c>
      <c r="B20" s="4">
        <f>IF(AND(B13&gt;0,B15&gt;B12),"LAYAK","TIDAK LAYAK")</f>
        <v/>
      </c>
    </row>
    <row r="22">
      <c r="A22" s="4" t="inlineStr">
        <is>
          <t>ANGKA UTAMA ARTIKEL (rujukan naratif -- blend konservatif 58 &amp; optimis 876)</t>
        </is>
      </c>
    </row>
    <row r="23">
      <c r="A23" s="7" t="inlineStr">
        <is>
          <t>NPV headline (input, Rp juta)</t>
        </is>
      </c>
      <c r="B23" s="8" t="n">
        <v>412</v>
      </c>
    </row>
    <row r="24">
      <c r="A24" s="4" t="inlineStr">
        <is>
          <t>PI headline = (NPV_headline + CAPEX)/CAPEX  -&gt; cocok 1,61</t>
        </is>
      </c>
      <c r="B24" s="26">
        <f>(B23+1_ASUMSI!$B$13)/1_ASUMSI!$B$13</f>
        <v/>
      </c>
    </row>
    <row r="25">
      <c r="A25" s="7" t="inlineStr">
        <is>
          <t>IRR headline (artikel, Rp)</t>
        </is>
      </c>
      <c r="B25" s="9" t="n">
        <v>0.224</v>
      </c>
    </row>
    <row r="26">
      <c r="A26" s="7" t="inlineStr">
        <is>
          <t>Payback headline (artikel, tahun)</t>
        </is>
      </c>
      <c r="B26" s="28" t="n">
        <v>2.8</v>
      </c>
    </row>
    <row r="28">
      <c r="A28" s="3" t="inlineStr">
        <is>
          <t>Cek artikel COCOK: NPV mid=876, NPV kons=58, WACC=11,5%, payback mid~3,0 th, PI headline=1,61.</t>
        </is>
      </c>
    </row>
    <row r="29">
      <c r="A29" s="3" t="inlineStr">
        <is>
          <t>Headline 412/22,4%/2,8 = angka naratif artikel (bukan satu arus kas); disajikan di atas sebagai input rujukan.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4"/>
  <sheetViews>
    <sheetView workbookViewId="0">
      <selection activeCell="A1" sqref="A1"/>
    </sheetView>
  </sheetViews>
  <sheetFormatPr baseColWidth="8" defaultRowHeight="15"/>
  <cols>
    <col width="4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</cols>
  <sheetData>
    <row r="1">
      <c r="A1" s="5" t="inlineStr">
        <is>
          <t>Analisis Sensitivitas &amp; Skenario</t>
        </is>
      </c>
    </row>
    <row r="2">
      <c r="A2" s="3" t="inlineStr">
        <is>
          <t>Tiga skenario dari artikel + threshold cangkir/hari agar NPV=0. NPV per skenario = formula hidup.</t>
        </is>
      </c>
    </row>
    <row r="4">
      <c r="A4" s="6" t="inlineStr">
        <is>
          <t>Skenario</t>
        </is>
      </c>
      <c r="B4" s="6" t="inlineStr">
        <is>
          <t>Cangkir/hari Th1</t>
        </is>
      </c>
      <c r="C4" s="6" t="inlineStr">
        <is>
          <t>Harga (Rp)</t>
        </is>
      </c>
      <c r="D4" s="6" t="inlineStr">
        <is>
          <t>Biaya tetap</t>
        </is>
      </c>
      <c r="E4" s="6" t="inlineStr">
        <is>
          <t>NPV (Rp juta)</t>
        </is>
      </c>
      <c r="F4" s="6" t="inlineStr">
        <is>
          <t>IRR</t>
        </is>
      </c>
      <c r="G4" s="3" t="inlineStr">
        <is>
          <t>FCFF Th0..Th5 (biru = input skenario)</t>
        </is>
      </c>
    </row>
    <row r="5">
      <c r="A5" s="13" t="inlineStr">
        <is>
          <t>Pesimis</t>
        </is>
      </c>
      <c r="B5" s="29" t="n">
        <v>150</v>
      </c>
      <c r="C5" s="14" t="n">
        <v>22000</v>
      </c>
      <c r="D5" s="29" t="inlineStr">
        <is>
          <t>+20%</t>
        </is>
      </c>
      <c r="E5" s="16">
        <f>H5+NPV(1_ASUMSI!$B$23,I5:M5)</f>
        <v/>
      </c>
      <c r="F5" s="30">
        <f>IRR(H5:M5)</f>
        <v/>
      </c>
      <c r="H5" s="8" t="n">
        <v>-680</v>
      </c>
      <c r="I5" s="8" t="n">
        <v>-297</v>
      </c>
      <c r="J5" s="8" t="n">
        <v>60</v>
      </c>
      <c r="K5" s="8" t="n">
        <v>140</v>
      </c>
      <c r="L5" s="8" t="n">
        <v>240</v>
      </c>
      <c r="M5" s="8" t="n">
        <v>340</v>
      </c>
    </row>
    <row r="6">
      <c r="A6" s="13" t="inlineStr">
        <is>
          <t>Realistis (mid-case)</t>
        </is>
      </c>
      <c r="B6" s="29" t="n">
        <v>250</v>
      </c>
      <c r="C6" s="14" t="n">
        <v>25000</v>
      </c>
      <c r="D6" s="29" t="inlineStr">
        <is>
          <t>baseline</t>
        </is>
      </c>
      <c r="E6" s="16">
        <f>H6+NPV(1_ASUMSI!$B$23,I6:M6)</f>
        <v/>
      </c>
      <c r="F6" s="30">
        <f>IRR(H6:M6)</f>
        <v/>
      </c>
      <c r="H6" s="8" t="n">
        <v>-680</v>
      </c>
      <c r="I6" s="8" t="n">
        <v>-297</v>
      </c>
      <c r="J6" s="8" t="n">
        <v>350</v>
      </c>
      <c r="K6" s="8" t="n">
        <v>620</v>
      </c>
      <c r="L6" s="8" t="n">
        <v>810</v>
      </c>
      <c r="M6" s="8" t="n">
        <v>980</v>
      </c>
    </row>
    <row r="7">
      <c r="A7" s="13" t="inlineStr">
        <is>
          <t>Optimis</t>
        </is>
      </c>
      <c r="B7" s="29" t="n">
        <v>300</v>
      </c>
      <c r="C7" s="14" t="n">
        <v>26000</v>
      </c>
      <c r="D7" s="29" t="inlineStr">
        <is>
          <t>-10%</t>
        </is>
      </c>
      <c r="E7" s="16">
        <f>H7+NPV(1_ASUMSI!$B$23,I7:M7)</f>
        <v/>
      </c>
      <c r="F7" s="30">
        <f>IRR(H7:M7)</f>
        <v/>
      </c>
      <c r="H7" s="8" t="n">
        <v>-680</v>
      </c>
      <c r="I7" s="8" t="n">
        <v>-297</v>
      </c>
      <c r="J7" s="8" t="n">
        <v>730</v>
      </c>
      <c r="K7" s="8" t="n">
        <v>1040</v>
      </c>
      <c r="L7" s="8" t="n">
        <v>1235</v>
      </c>
      <c r="M7" s="8" t="n">
        <v>1425</v>
      </c>
    </row>
    <row r="9">
      <c r="A9" s="3" t="inlineStr">
        <is>
          <t>Cek artikel: pesimis NPV&lt;0 (tidak layak), realistis &amp; optimis NPV&gt;0 (layak).</t>
        </is>
      </c>
    </row>
    <row r="11">
      <c r="A11" s="4" t="inlineStr">
        <is>
          <t>THRESHOLD: cangkir/hari Th1 minimum agar NPV=0</t>
        </is>
      </c>
    </row>
    <row r="12">
      <c r="A12" s="7" t="inlineStr">
        <is>
          <t>Menurut artikel (interpolasi skenario)</t>
        </is>
      </c>
      <c r="B12" s="31" t="inlineStr">
        <is>
          <t>~165 cangkir/hari</t>
        </is>
      </c>
    </row>
    <row r="13">
      <c r="A13" s="7" t="inlineStr">
        <is>
          <t>Break-even akuntansi (dari 2_PASAR)</t>
        </is>
      </c>
      <c r="B13" s="32">
        <f>2_PASAR!B18</f>
        <v/>
      </c>
    </row>
    <row r="14">
      <c r="A14" s="3" t="inlineStr">
        <is>
          <t>Break-even finansial (&gt;break-even akuntansi karena harus tutup biaya modal/WACC).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2026-07-19T18:23:25Z</dcterms:created>
  <dcterms:modified xmlns:dcterms="http://purl.org/dc/terms/" xmlns:xsi="http://www.w3.org/2001/XMLSchema-instance" xsi:type="dcterms:W3CDTF">2026-07-19T18:23:25Z</dcterms:modified>
</cp:coreProperties>
</file>