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PETUNJUK" sheetId="1" state="visible" r:id="rId1"/>
    <sheet xmlns:r="http://schemas.openxmlformats.org/officeDocument/2006/relationships" name="2_COCHRAN" sheetId="2" state="visible" r:id="rId2"/>
    <sheet xmlns:r="http://schemas.openxmlformats.org/officeDocument/2006/relationships" name="3_STRATIFIED" sheetId="3" state="visible" r:id="rId3"/>
    <sheet xmlns:r="http://schemas.openxmlformats.org/officeDocument/2006/relationships" name="4_SYSTEMATIC" sheetId="4" state="visible" r:id="rId4"/>
    <sheet xmlns:r="http://schemas.openxmlformats.org/officeDocument/2006/relationships" name="5_MULTISTAGE" sheetId="5" state="visible" r:id="rId5"/>
    <sheet xmlns:r="http://schemas.openxmlformats.org/officeDocument/2006/relationships" name="6_CLUSTER_DEFF" sheetId="6" state="visible" r:id="rId6"/>
    <sheet xmlns:r="http://schemas.openxmlformats.org/officeDocument/2006/relationships" name="7_UNDIP" sheetId="7" state="visible" r:id="rId7"/>
    <sheet xmlns:r="http://schemas.openxmlformats.org/officeDocument/2006/relationships" name="8_RUMU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0.0000"/>
    <numFmt numFmtId="165" formatCode="0.000000"/>
    <numFmt numFmtId="166" formatCode="0.0"/>
    <numFmt numFmtId="167" formatCode="#,##0.0"/>
    <numFmt numFmtId="168" formatCode="+0;-0;0"/>
    <numFmt numFmtId="169" formatCode="0.0000000"/>
    <numFmt numFmtId="170" formatCode="0.000"/>
  </numFmts>
  <fonts count="14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555555"/>
      <sz val="11"/>
    </font>
    <font>
      <b val="1"/>
    </font>
    <font>
      <sz val="10"/>
    </font>
    <font>
      <i val="1"/>
      <color rgb="00555555"/>
      <sz val="9"/>
    </font>
    <font>
      <b val="1"/>
      <color rgb="00FFFFFF"/>
      <sz val="13"/>
    </font>
    <font>
      <b val="1"/>
      <color rgb="00FFFFFF"/>
    </font>
    <font/>
    <font>
      <b val="1"/>
      <color rgb="001F4E79"/>
    </font>
    <font>
      <i val="1"/>
      <color rgb="00555555"/>
    </font>
    <font>
      <b val="1"/>
      <color rgb="00000000"/>
      <sz val="12"/>
    </font>
    <font>
      <b val="1"/>
      <color rgb="00555555"/>
    </font>
    <font>
      <b val="1"/>
      <color rgb="00FFFFFF"/>
      <sz val="11"/>
    </font>
  </fonts>
  <fills count="11">
    <fill>
      <patternFill/>
    </fill>
    <fill>
      <patternFill patternType="gray125"/>
    </fill>
    <fill>
      <patternFill patternType="solid">
        <fgColor rgb="0000C853"/>
      </patternFill>
    </fill>
    <fill>
      <patternFill patternType="solid">
        <fgColor rgb="00E8F5E9"/>
      </patternFill>
    </fill>
    <fill>
      <patternFill patternType="solid">
        <fgColor rgb="00F5F5F5"/>
      </patternFill>
    </fill>
    <fill>
      <patternFill patternType="solid">
        <fgColor rgb="00E3F2FD"/>
      </patternFill>
    </fill>
    <fill>
      <patternFill patternType="solid">
        <fgColor rgb="00FFF59D"/>
      </patternFill>
    </fill>
    <fill>
      <patternFill patternType="solid">
        <fgColor rgb="00FFE0B2"/>
      </patternFill>
    </fill>
    <fill>
      <patternFill patternType="solid">
        <fgColor rgb="0076FF03"/>
      </patternFill>
    </fill>
    <fill>
      <patternFill patternType="solid">
        <fgColor rgb="00FFCDD2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0" borderId="0" pivotButton="0" quotePrefix="0" xfId="0"/>
    <xf numFmtId="0" fontId="3" fillId="4" borderId="0" pivotButton="0" quotePrefix="0" xfId="0"/>
    <xf numFmtId="0" fontId="4" fillId="0" borderId="0" applyAlignment="1" pivotButton="0" quotePrefix="0" xfId="0">
      <alignment vertical="top" wrapText="1"/>
    </xf>
    <xf numFmtId="0" fontId="3" fillId="0" borderId="0" applyAlignment="1" pivotButton="0" quotePrefix="0" xfId="0">
      <alignment horizontal="left" vertical="center" wrapText="1"/>
    </xf>
    <xf numFmtId="0" fontId="0" fillId="5" borderId="0" applyAlignment="1" pivotButton="0" quotePrefix="0" xfId="0">
      <alignment horizontal="center"/>
    </xf>
    <xf numFmtId="0" fontId="4" fillId="0" borderId="0" pivotButton="0" quotePrefix="0" xfId="0"/>
    <xf numFmtId="0" fontId="0" fillId="6" borderId="0" applyAlignment="1" pivotButton="0" quotePrefix="0" xfId="0">
      <alignment horizontal="center"/>
    </xf>
    <xf numFmtId="0" fontId="0" fillId="7" borderId="0" applyAlignment="1" pivotButton="0" quotePrefix="0" xfId="0">
      <alignment horizontal="center"/>
    </xf>
    <xf numFmtId="0" fontId="5" fillId="0" borderId="0" applyAlignment="1" pivotButton="0" quotePrefix="0" xfId="0">
      <alignment horizontal="left" vertical="top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10" fontId="9" fillId="5" borderId="1" applyAlignment="1" pivotButton="0" quotePrefix="0" xfId="0">
      <alignment horizontal="center"/>
    </xf>
    <xf numFmtId="9" fontId="9" fillId="5" borderId="1" applyAlignment="1" pivotButton="0" quotePrefix="0" xfId="0">
      <alignment horizontal="center"/>
    </xf>
    <xf numFmtId="164" fontId="3" fillId="6" borderId="1" applyAlignment="1" pivotButton="0" quotePrefix="0" xfId="0">
      <alignment horizontal="center"/>
    </xf>
    <xf numFmtId="2" fontId="9" fillId="5" borderId="1" applyAlignment="1" pivotButton="0" quotePrefix="0" xfId="0">
      <alignment horizontal="center"/>
    </xf>
    <xf numFmtId="3" fontId="9" fillId="5" borderId="1" applyAlignment="1" pivotButton="0" quotePrefix="0" xfId="0">
      <alignment horizontal="center"/>
    </xf>
    <xf numFmtId="164" fontId="10" fillId="7" borderId="1" applyAlignment="1" pivotButton="0" quotePrefix="0" xfId="0">
      <alignment horizontal="center"/>
    </xf>
    <xf numFmtId="165" fontId="10" fillId="7" borderId="1" applyAlignment="1" pivotButton="0" quotePrefix="0" xfId="0">
      <alignment horizontal="center"/>
    </xf>
    <xf numFmtId="166" fontId="3" fillId="6" borderId="1" applyAlignment="1" pivotButton="0" quotePrefix="0" xfId="0">
      <alignment horizontal="center"/>
    </xf>
    <xf numFmtId="1" fontId="3" fillId="6" borderId="1" applyAlignment="1" pivotButton="0" quotePrefix="0" xfId="0">
      <alignment horizontal="center"/>
    </xf>
    <xf numFmtId="1" fontId="11" fillId="8" borderId="1" applyAlignment="1" pivotButton="0" quotePrefix="0" xfId="0">
      <alignment horizontal="center"/>
    </xf>
    <xf numFmtId="0" fontId="12" fillId="3" borderId="0" applyAlignment="1" pivotButton="0" quotePrefix="0" xfId="0">
      <alignment horizontal="left" vertical="center" wrapText="1"/>
    </xf>
    <xf numFmtId="166" fontId="12" fillId="3" borderId="0" applyAlignment="1" pivotButton="0" quotePrefix="0" xfId="0">
      <alignment horizontal="center"/>
    </xf>
    <xf numFmtId="10" fontId="3" fillId="3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3" fontId="3" fillId="6" borderId="0" applyAlignment="1" pivotButton="0" quotePrefix="0" xfId="0">
      <alignment horizontal="center"/>
    </xf>
    <xf numFmtId="1" fontId="9" fillId="5" borderId="1" applyAlignment="1" pivotButton="0" quotePrefix="0" xfId="0">
      <alignment horizontal="center"/>
    </xf>
    <xf numFmtId="3" fontId="8" fillId="4" borderId="1" applyAlignment="1" pivotButton="0" quotePrefix="0" xfId="0">
      <alignment horizontal="center"/>
    </xf>
    <xf numFmtId="0" fontId="12" fillId="3" borderId="0" applyAlignment="1" pivotButton="0" quotePrefix="0" xfId="0">
      <alignment horizontal="center" wrapText="1"/>
    </xf>
    <xf numFmtId="164" fontId="8" fillId="4" borderId="1" applyAlignment="1" pivotButton="0" quotePrefix="0" xfId="0">
      <alignment horizontal="center"/>
    </xf>
    <xf numFmtId="167" fontId="10" fillId="7" borderId="1" applyAlignment="1" pivotButton="0" quotePrefix="0" xfId="0">
      <alignment horizontal="center"/>
    </xf>
    <xf numFmtId="168" fontId="3" fillId="9" borderId="1" applyAlignment="1" pivotButton="0" quotePrefix="0" xfId="0">
      <alignment horizontal="center"/>
    </xf>
    <xf numFmtId="3" fontId="12" fillId="3" borderId="1" applyAlignment="1" pivotButton="0" quotePrefix="0" xfId="0">
      <alignment horizontal="center"/>
    </xf>
    <xf numFmtId="2" fontId="3" fillId="3" borderId="1" applyAlignment="1" pivotButton="0" quotePrefix="0" xfId="0">
      <alignment horizontal="center"/>
    </xf>
    <xf numFmtId="164" fontId="3" fillId="3" borderId="1" applyAlignment="1" pivotButton="0" quotePrefix="0" xfId="0">
      <alignment horizontal="center"/>
    </xf>
    <xf numFmtId="167" fontId="3" fillId="3" borderId="1" applyAlignment="1" pivotButton="0" quotePrefix="0" xfId="0">
      <alignment horizontal="center"/>
    </xf>
    <xf numFmtId="168" fontId="3" fillId="3" borderId="1" applyAlignment="1" pivotButton="0" quotePrefix="0" xfId="0">
      <alignment horizontal="center"/>
    </xf>
    <xf numFmtId="2" fontId="3" fillId="6" borderId="1" applyAlignment="1" pivotButton="0" quotePrefix="0" xfId="0">
      <alignment horizontal="center"/>
    </xf>
    <xf numFmtId="1" fontId="8" fillId="4" borderId="1" applyAlignment="1" pivotButton="0" quotePrefix="0" xfId="0">
      <alignment horizontal="center"/>
    </xf>
    <xf numFmtId="0" fontId="13" fillId="2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/>
    </xf>
    <xf numFmtId="3" fontId="3" fillId="6" borderId="1" applyAlignment="1" pivotButton="0" quotePrefix="0" xfId="0">
      <alignment horizontal="center"/>
    </xf>
    <xf numFmtId="3" fontId="11" fillId="8" borderId="1" applyAlignment="1" pivotButton="0" quotePrefix="0" xfId="0">
      <alignment horizontal="center"/>
    </xf>
    <xf numFmtId="169" fontId="3" fillId="6" borderId="1" applyAlignment="1" pivotButton="0" quotePrefix="0" xfId="0">
      <alignment horizontal="center"/>
    </xf>
    <xf numFmtId="167" fontId="3" fillId="6" borderId="1" applyAlignment="1" pivotButton="0" quotePrefix="0" xfId="0">
      <alignment horizontal="center"/>
    </xf>
    <xf numFmtId="170" fontId="9" fillId="5" borderId="1" applyAlignment="1" pivotButton="0" quotePrefix="0" xfId="0">
      <alignment horizontal="center"/>
    </xf>
    <xf numFmtId="170" fontId="3" fillId="6" borderId="1" applyAlignment="1" pivotButton="0" quotePrefix="0" xfId="0">
      <alignment horizontal="center"/>
    </xf>
    <xf numFmtId="1" fontId="3" fillId="9" borderId="1" applyAlignment="1" pivotButton="0" quotePrefix="0" xfId="0">
      <alignment horizontal="center"/>
    </xf>
    <xf numFmtId="0" fontId="3" fillId="3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3" fillId="6" borderId="0" applyAlignment="1" pivotButton="0" quotePrefix="0" xfId="0">
      <alignment horizontal="center"/>
    </xf>
    <xf numFmtId="10" fontId="3" fillId="6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3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center"/>
    </xf>
    <xf numFmtId="1" fontId="0" fillId="0" borderId="1" applyAlignment="1" pivotButton="0" quotePrefix="0" xfId="0">
      <alignment horizontal="center"/>
    </xf>
    <xf numFmtId="0" fontId="7" fillId="2" borderId="0" pivotButton="0" quotePrefix="0" xfId="0"/>
    <xf numFmtId="166" fontId="8" fillId="4" borderId="1" applyAlignment="1" pivotButton="0" quotePrefix="0" xfId="0">
      <alignment horizontal="center"/>
    </xf>
    <xf numFmtId="0" fontId="3" fillId="4" borderId="0" applyAlignment="1" pivotButton="0" quotePrefix="0" xfId="0">
      <alignment vertical="top" wrapText="1"/>
    </xf>
    <xf numFmtId="0" fontId="4" fillId="4" borderId="0" applyAlignment="1" pivotButton="0" quotePrefix="0" xfId="0">
      <alignment vertical="top" wrapText="1"/>
    </xf>
    <xf numFmtId="0" fontId="3" fillId="10" borderId="0" applyAlignment="1" pivotButton="0" quotePrefix="0" xfId="0">
      <alignment vertical="top" wrapText="1"/>
    </xf>
    <xf numFmtId="0" fontId="4" fillId="1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19"/>
  <sheetViews>
    <sheetView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92" customWidth="1" min="3" max="3"/>
  </cols>
  <sheetData>
    <row r="2" ht="26" customHeight="1">
      <c r="B2" s="1" t="inlineStr">
        <is>
          <t>METODE SAMPLING — STRATIFIED, CLUSTER, SYSTEMATIC DARI NOL</t>
        </is>
      </c>
    </row>
    <row r="3" ht="32" customHeight="1">
      <c r="B3" s="2" t="inlineStr">
        <is>
          <t>Sample size (Cochran + FPC) · Alokasi Stratified (Proporsional vs Neyman) · Systematic · Multistage · Cluster (DEFF)</t>
        </is>
      </c>
    </row>
    <row r="5">
      <c r="B5" s="3" t="inlineStr">
        <is>
          <t>PAKAI CARA INI:</t>
        </is>
      </c>
    </row>
    <row r="6">
      <c r="B6" s="4" t="inlineStr">
        <is>
          <t>1. 2_COCHRAN</t>
        </is>
      </c>
      <c r="C6" s="5" t="inlineStr">
        <is>
          <t>Kalkulator ukuran sampel untuk proporsi: rumus Cochran n0 = z²·p·(1−p)/e², lalu koreksi populasi terbatas (FPC) menjadi n = n0 / (1 + (n0−1)/N).</t>
        </is>
      </c>
    </row>
    <row r="7">
      <c r="B7" s="4" t="inlineStr">
        <is>
          <t>2. 3_STRATIFIED</t>
        </is>
      </c>
      <c r="C7" s="5" t="inlineStr">
        <is>
          <t>Alokasi sampel antar-strata: dua mode — PROPORSIONAL (sebanding ukuran strata N_h) dan OPTIMAL/Neyman (sebanding N_h·S_h, meminimumkan varians).</t>
        </is>
      </c>
    </row>
    <row r="8">
      <c r="B8" s="4" t="inlineStr">
        <is>
          <t>3. 4_SYSTEMATIC</t>
        </is>
      </c>
      <c r="C8" s="5" t="inlineStr">
        <is>
          <t>Interval sampling sistematis k = N/n dengan random start r ∈ [1, k]. Output: daftar nomor unit terpilih.</t>
        </is>
      </c>
    </row>
    <row r="9">
      <c r="B9" s="4" t="inlineStr">
        <is>
          <t>4. 5_MULTISTAGE</t>
        </is>
      </c>
      <c r="C9" s="5" t="inlineStr">
        <is>
          <t>Contoh tiga tahap: pilih kabupaten (cluster) → kelurahan (cluster) → KK (elemen). Tiap tahap dihitung peluangnya.</t>
        </is>
      </c>
    </row>
    <row r="10">
      <c r="B10" s="4" t="inlineStr">
        <is>
          <t>5. 6_CLUSTER_DEFF</t>
        </is>
      </c>
      <c r="C10" s="5" t="inlineStr">
        <is>
          <t>Efek desain (DEFF) = 1 + ρ(m−1). Mengubah jumlah klaster vs elemen per klaster memengaruhi n efektif.</t>
        </is>
      </c>
    </row>
    <row r="11">
      <c r="B11" s="4" t="inlineStr">
        <is>
          <t>6. 7_UNDIP</t>
        </is>
      </c>
      <c r="C11" s="5" t="inlineStr">
        <is>
          <t>Studi kasus: survei mahasiswa UNDIP, populasi N = 30.000. Hitung n, alokasi 7 fakultas, dan k systematic.</t>
        </is>
      </c>
    </row>
    <row r="13">
      <c r="B13" s="6" t="inlineStr">
        <is>
          <t>KODE WARNA:</t>
        </is>
      </c>
    </row>
    <row r="14">
      <c r="B14" s="7" t="inlineStr">
        <is>
          <t>BIRU</t>
        </is>
      </c>
      <c r="C14" s="8" t="inlineStr">
        <is>
          <t>Sel input — silakan ubah nilai di sini (margin of error, p, N, ukuran strata, dst).</t>
        </is>
      </c>
    </row>
    <row r="15">
      <c r="B15" s="9" t="inlineStr">
        <is>
          <t>KUNING</t>
        </is>
      </c>
      <c r="C15" s="8" t="inlineStr">
        <is>
          <t>Hasil akhir (formula hidup). Bergeser otomatis saat input berubah.</t>
        </is>
      </c>
    </row>
    <row r="16">
      <c r="B16" s="10" t="inlineStr">
        <is>
          <t>ORANYE</t>
        </is>
      </c>
      <c r="C16" s="8" t="inlineStr">
        <is>
          <t>Langkah perantara untuk transparansi — supaya formula hitung bisa diaudit.</t>
        </is>
      </c>
    </row>
    <row r="18">
      <c r="B18" s="6" t="inlineStr">
        <is>
          <t>RUMUS YANG DIPAKAI:</t>
        </is>
      </c>
    </row>
    <row r="19">
      <c r="B19" s="11" t="inlineStr">
        <is>
          <t>• Cochran (proporsi):  n0 = z²·p·(1−p) / e²   → populasi tak terbatas
• Finite Pop Correction:  n = n0 / (1 + (n0 − 1)/N)
• Slovin (varian sederhana):  n = N / (1 + N·e²)
• Stratified proporsional:  n_h = n · (N_h / N)
• Stratified Neyman:  n_h = n · (N_h·S_h) / Σ(N_h·S_h)
• Systematic:  k = N/n,  r ~ U{1..k}, unit ke-(r + (i−1)·k)
• Cluster design effect:  DEFF = 1 + ρ·(m − 1);  n_eff = n_SRS / DEFF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35"/>
  <sheetViews>
    <sheetView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6" customWidth="1" min="3" max="3"/>
    <col width="60" customWidth="1" min="4" max="4"/>
    <col width="3" customWidth="1" min="5" max="5"/>
    <col width="14" customWidth="1" min="6" max="6"/>
  </cols>
  <sheetData>
    <row r="2" ht="26" customHeight="1">
      <c r="B2" s="12" t="inlineStr">
        <is>
          <t>1 · UKURAN SAMPEL — COCHRAN + KOREKSI POPULASI TERBATAS (FPC)</t>
        </is>
      </c>
    </row>
    <row r="3" ht="30" customHeight="1">
      <c r="B3" s="2" t="inlineStr">
        <is>
          <t>Cochran (1977). Rumus di bawah hidup; ubah sel biru untuk recalculate.</t>
        </is>
      </c>
    </row>
    <row r="5">
      <c r="B5" s="13" t="inlineStr">
        <is>
          <t>INPUT (ubah sel BIRU)</t>
        </is>
      </c>
    </row>
    <row r="6">
      <c r="B6" s="14" t="inlineStr">
        <is>
          <t>Margin of error (e)</t>
        </is>
      </c>
      <c r="C6" s="15" t="n">
        <v>0.05</v>
      </c>
      <c r="D6" s="11" t="inlineStr">
        <is>
          <t>Toleransi kesalahan. ±5% = 0,05 standar survei; ±3% survei nasional.</t>
        </is>
      </c>
    </row>
    <row r="7">
      <c r="B7" s="14" t="inlineStr">
        <is>
          <t>Confidence level</t>
        </is>
      </c>
      <c r="C7" s="16" t="n">
        <v>0.95</v>
      </c>
      <c r="D7" s="11" t="inlineStr">
        <is>
          <t>90/95/99%. Bisa ubah; z otomatis dihitung di bawah.</t>
        </is>
      </c>
    </row>
    <row r="8">
      <c r="B8" s="14" t="inlineStr">
        <is>
          <t>z (dua sisi)</t>
        </is>
      </c>
      <c r="C8" s="17">
        <f>NORM.S.INV(1-(1-C7)/2)</f>
        <v/>
      </c>
      <c r="D8" s="11">
        <f>NORM.S.INV(1−α/2). 95% → 1,959964. Override manual jika ingin z khusus (ganti rumus dengan angka).</f>
        <v/>
      </c>
    </row>
    <row r="9">
      <c r="B9" s="14" t="inlineStr">
        <is>
          <t>Estimasi proporsi (p)</t>
        </is>
      </c>
      <c r="C9" s="18" t="n">
        <v>0.5</v>
      </c>
      <c r="D9" s="11" t="inlineStr">
        <is>
          <t>p=0,5 memberi n MAKSIMUM (konservatif). Jika studi punya estimasi p awal (mis. 0,3), masukkan di sini untuk mengecilkan n.</t>
        </is>
      </c>
    </row>
    <row r="10">
      <c r="B10" s="14" t="inlineStr">
        <is>
          <t>Ukuran populasi (N)</t>
        </is>
      </c>
      <c r="C10" s="19" t="n">
        <v>30000</v>
      </c>
      <c r="D10" s="11" t="inlineStr">
        <is>
          <t>N terbatas. Isi sangat besar (mis. 1.000.000.000) untuk mensimulasikan populasi tak terbatas (FPC ~1).</t>
        </is>
      </c>
    </row>
    <row r="12">
      <c r="B12" s="13" t="inlineStr">
        <is>
          <t>LANGKAH — Cochran (populasi tak terbatas)</t>
        </is>
      </c>
    </row>
    <row r="13">
      <c r="B13" s="14" t="inlineStr">
        <is>
          <t>1. z kuadrat</t>
        </is>
      </c>
      <c r="C13" s="20">
        <f>C8^2</f>
        <v/>
      </c>
      <c r="D13" s="11" t="inlineStr">
        <is>
          <t>z × z</t>
        </is>
      </c>
    </row>
    <row r="14">
      <c r="B14" s="14" t="inlineStr">
        <is>
          <t>2. p × (1 − p)</t>
        </is>
      </c>
      <c r="C14" s="20">
        <f>C9*(1-C9)</f>
        <v/>
      </c>
      <c r="D14" s="11" t="inlineStr">
        <is>
          <t>variansi maksimum saat p=0,5 → 0,25</t>
        </is>
      </c>
    </row>
    <row r="15">
      <c r="B15" s="14" t="inlineStr">
        <is>
          <t>3. e kuadrat</t>
        </is>
      </c>
      <c r="C15" s="21">
        <f>C6^2</f>
        <v/>
      </c>
      <c r="D15" s="11" t="inlineStr">
        <is>
          <t>e × e. Karena e di penyebut, e kecil → n besar (kuadratik).</t>
        </is>
      </c>
    </row>
    <row r="16">
      <c r="B16" s="14" t="inlineStr">
        <is>
          <t>4. n0 = z²·p·(1−p) / e²</t>
        </is>
      </c>
      <c r="C16" s="22">
        <f>C13*C14/C15</f>
        <v/>
      </c>
      <c r="D16" s="11" t="inlineStr">
        <is>
          <t>Cochran n0. Untuk default (95%, e=5%, p=0,5) → 384,16.</t>
        </is>
      </c>
    </row>
    <row r="17">
      <c r="B17" s="14" t="inlineStr">
        <is>
          <t>5. n0 dibulatkan</t>
        </is>
      </c>
      <c r="C17" s="23">
        <f>ROUNDUP(C16,0)</f>
        <v/>
      </c>
      <c r="D17" s="11" t="inlineStr">
        <is>
          <t>Selalu ROUNDUP — sampel tidak boleh kurang.</t>
        </is>
      </c>
    </row>
    <row r="19">
      <c r="B19" s="13" t="inlineStr">
        <is>
          <t>KOREKSI POPULASI TERBATAS (FPC)</t>
        </is>
      </c>
    </row>
    <row r="20">
      <c r="B20" s="14" t="inlineStr">
        <is>
          <t>6. (n0 − 1) / N</t>
        </is>
      </c>
      <c r="C20" s="21">
        <f>(C17-1)/C10</f>
        <v/>
      </c>
      <c r="D20" s="11" t="inlineStr">
        <is>
          <t>rasio sampel terhadap populasi. Mendekati 0 bila N ≫ n0.</t>
        </is>
      </c>
    </row>
    <row r="21">
      <c r="B21" s="14" t="inlineStr">
        <is>
          <t>7. 1 + (n0−1)/N</t>
        </is>
      </c>
      <c r="C21" s="21">
        <f>1+C20</f>
        <v/>
      </c>
      <c r="D21" s="11" t="inlineStr">
        <is>
          <t>penyebut FPC.</t>
        </is>
      </c>
    </row>
    <row r="22">
      <c r="B22" s="14" t="inlineStr">
        <is>
          <t>8. n_FPC = n0 / penyebut</t>
        </is>
      </c>
      <c r="C22" s="22">
        <f>C17/C21</f>
        <v/>
      </c>
      <c r="D22" s="11" t="inlineStr">
        <is>
          <t>Setelah FPC. Untuk N=30.000: ~379.</t>
        </is>
      </c>
    </row>
    <row r="23">
      <c r="B23" s="14" t="inlineStr">
        <is>
          <t>9. n final (ROUNDUP)</t>
        </is>
      </c>
      <c r="C23" s="24">
        <f>ROUNDUP(C22,0)</f>
        <v/>
      </c>
      <c r="D23" s="11" t="inlineStr">
        <is>
          <t>★ INI ukuran sampel minimum yang dipakai untuk survei.</t>
        </is>
      </c>
    </row>
    <row r="25">
      <c r="B25" s="25" t="inlineStr">
        <is>
          <t>BANDINGKAN: SLOVIN (rumus singkat populer di Indonesia)</t>
        </is>
      </c>
    </row>
    <row r="26">
      <c r="B26" s="14" t="inlineStr">
        <is>
          <t>n_Slovin = N / (1 + N·e²)</t>
        </is>
      </c>
      <c r="C26" s="23">
        <f>ROUNDUP(C10/(1+C10*C6^2),0)</f>
        <v/>
      </c>
      <c r="D26" s="11" t="inlineStr">
        <is>
          <t>Slovin mirip Cochran+FPC tapi tanpa z dan p. Hasil hampir sama saat p=0,5 z=1,96. Tidak ada dasar teori untuk mean, hanya proporsi. Pakai Cochran untuk publikasi internasional.</t>
        </is>
      </c>
    </row>
    <row r="28">
      <c r="B28" s="13" t="inlineStr">
        <is>
          <t>TABEL SENSITIVITAS — n_FPC untuk kombinasi e × p (N=30.000, 95%)</t>
        </is>
      </c>
    </row>
    <row r="29">
      <c r="B29" s="2" t="inlineStr">
        <is>
          <t>e \ p</t>
        </is>
      </c>
      <c r="C29" s="26" t="n">
        <v>0.1</v>
      </c>
      <c r="D29" s="26" t="n">
        <v>0.3</v>
      </c>
      <c r="E29" s="26" t="n">
        <v>0.5</v>
      </c>
      <c r="F29" s="26" t="n">
        <v>0.7</v>
      </c>
    </row>
    <row r="30">
      <c r="B30" s="27" t="n">
        <v>0.01</v>
      </c>
      <c r="C30" s="28">
        <f>ROUNDUP(((NORM.S.INV(1-(1-0.95)/2)^2*0.1*(1-0.1)/0.01^2))/(1+((NORM.S.INV(1-(1-0.95)/2)^2*0.1*(1-0.1)/0.01^2)-1)/30000),0)</f>
        <v/>
      </c>
      <c r="D30" s="28">
        <f>ROUNDUP(((NORM.S.INV(1-(1-0.95)/2)^2*0.3*(1-0.3)/0.01^2))/(1+((NORM.S.INV(1-(1-0.95)/2)^2*0.3*(1-0.3)/0.01^2)-1)/30000),0)</f>
        <v/>
      </c>
      <c r="E30" s="28">
        <f>ROUNDUP(((NORM.S.INV(1-(1-0.95)/2)^2*0.5*(1-0.5)/0.01^2))/(1+((NORM.S.INV(1-(1-0.95)/2)^2*0.5*(1-0.5)/0.01^2)-1)/30000),0)</f>
        <v/>
      </c>
      <c r="F30" s="28">
        <f>ROUNDUP(((NORM.S.INV(1-(1-0.95)/2)^2*0.7*(1-0.7)/0.01^2))/(1+((NORM.S.INV(1-(1-0.95)/2)^2*0.7*(1-0.7)/0.01^2)-1)/30000),0)</f>
        <v/>
      </c>
    </row>
    <row r="31">
      <c r="B31" s="27" t="n">
        <v>0.02</v>
      </c>
      <c r="C31" s="28">
        <f>ROUNDUP(((NORM.S.INV(1-(1-0.95)/2)^2*0.1*(1-0.1)/0.02^2))/(1+((NORM.S.INV(1-(1-0.95)/2)^2*0.1*(1-0.1)/0.02^2)-1)/30000),0)</f>
        <v/>
      </c>
      <c r="D31" s="28">
        <f>ROUNDUP(((NORM.S.INV(1-(1-0.95)/2)^2*0.3*(1-0.3)/0.02^2))/(1+((NORM.S.INV(1-(1-0.95)/2)^2*0.3*(1-0.3)/0.02^2)-1)/30000),0)</f>
        <v/>
      </c>
      <c r="E31" s="28">
        <f>ROUNDUP(((NORM.S.INV(1-(1-0.95)/2)^2*0.5*(1-0.5)/0.02^2))/(1+((NORM.S.INV(1-(1-0.95)/2)^2*0.5*(1-0.5)/0.02^2)-1)/30000),0)</f>
        <v/>
      </c>
      <c r="F31" s="28">
        <f>ROUNDUP(((NORM.S.INV(1-(1-0.95)/2)^2*0.7*(1-0.7)/0.02^2))/(1+((NORM.S.INV(1-(1-0.95)/2)^2*0.7*(1-0.7)/0.02^2)-1)/30000),0)</f>
        <v/>
      </c>
    </row>
    <row r="32">
      <c r="B32" s="27" t="n">
        <v>0.03</v>
      </c>
      <c r="C32" s="28">
        <f>ROUNDUP(((NORM.S.INV(1-(1-0.95)/2)^2*0.1*(1-0.1)/0.03^2))/(1+((NORM.S.INV(1-(1-0.95)/2)^2*0.1*(1-0.1)/0.03^2)-1)/30000),0)</f>
        <v/>
      </c>
      <c r="D32" s="28">
        <f>ROUNDUP(((NORM.S.INV(1-(1-0.95)/2)^2*0.3*(1-0.3)/0.03^2))/(1+((NORM.S.INV(1-(1-0.95)/2)^2*0.3*(1-0.3)/0.03^2)-1)/30000),0)</f>
        <v/>
      </c>
      <c r="E32" s="28">
        <f>ROUNDUP(((NORM.S.INV(1-(1-0.95)/2)^2*0.5*(1-0.5)/0.03^2))/(1+((NORM.S.INV(1-(1-0.95)/2)^2*0.5*(1-0.5)/0.03^2)-1)/30000),0)</f>
        <v/>
      </c>
      <c r="F32" s="28">
        <f>ROUNDUP(((NORM.S.INV(1-(1-0.95)/2)^2*0.7*(1-0.7)/0.03^2))/(1+((NORM.S.INV(1-(1-0.95)/2)^2*0.7*(1-0.7)/0.03^2)-1)/30000),0)</f>
        <v/>
      </c>
    </row>
    <row r="33">
      <c r="B33" s="27" t="n">
        <v>0.05</v>
      </c>
      <c r="C33" s="28">
        <f>ROUNDUP(((NORM.S.INV(1-(1-0.95)/2)^2*0.1*(1-0.1)/0.05^2))/(1+((NORM.S.INV(1-(1-0.95)/2)^2*0.1*(1-0.1)/0.05^2)-1)/30000),0)</f>
        <v/>
      </c>
      <c r="D33" s="28">
        <f>ROUNDUP(((NORM.S.INV(1-(1-0.95)/2)^2*0.3*(1-0.3)/0.05^2))/(1+((NORM.S.INV(1-(1-0.95)/2)^2*0.3*(1-0.3)/0.05^2)-1)/30000),0)</f>
        <v/>
      </c>
      <c r="E33" s="29">
        <f>ROUNDUP(((NORM.S.INV(1-(1-0.95)/2)^2*0.5*(1-0.5)/0.05^2))/(1+((NORM.S.INV(1-(1-0.95)/2)^2*0.5*(1-0.5)/0.05^2)-1)/30000),0)</f>
        <v/>
      </c>
      <c r="F33" s="28">
        <f>ROUNDUP(((NORM.S.INV(1-(1-0.95)/2)^2*0.7*(1-0.7)/0.05^2))/(1+((NORM.S.INV(1-(1-0.95)/2)^2*0.7*(1-0.7)/0.05^2)-1)/30000),0)</f>
        <v/>
      </c>
    </row>
    <row r="34">
      <c r="B34" s="27" t="n">
        <v>0.07000000000000001</v>
      </c>
      <c r="C34" s="28">
        <f>ROUNDUP(((NORM.S.INV(1-(1-0.95)/2)^2*0.1*(1-0.1)/0.07^2))/(1+((NORM.S.INV(1-(1-0.95)/2)^2*0.1*(1-0.1)/0.07^2)-1)/30000),0)</f>
        <v/>
      </c>
      <c r="D34" s="28">
        <f>ROUNDUP(((NORM.S.INV(1-(1-0.95)/2)^2*0.3*(1-0.3)/0.07^2))/(1+((NORM.S.INV(1-(1-0.95)/2)^2*0.3*(1-0.3)/0.07^2)-1)/30000),0)</f>
        <v/>
      </c>
      <c r="E34" s="28">
        <f>ROUNDUP(((NORM.S.INV(1-(1-0.95)/2)^2*0.5*(1-0.5)/0.07^2))/(1+((NORM.S.INV(1-(1-0.95)/2)^2*0.5*(1-0.5)/0.07^2)-1)/30000),0)</f>
        <v/>
      </c>
      <c r="F34" s="28">
        <f>ROUNDUP(((NORM.S.INV(1-(1-0.95)/2)^2*0.7*(1-0.7)/0.07^2))/(1+((NORM.S.INV(1-(1-0.95)/2)^2*0.7*(1-0.7)/0.07^2)-1)/30000),0)</f>
        <v/>
      </c>
    </row>
    <row r="35">
      <c r="B35" s="27" t="n">
        <v>0.1</v>
      </c>
      <c r="C35" s="28">
        <f>ROUNDUP(((NORM.S.INV(1-(1-0.95)/2)^2*0.1*(1-0.1)/0.1^2))/(1+((NORM.S.INV(1-(1-0.95)/2)^2*0.1*(1-0.1)/0.1^2)-1)/30000),0)</f>
        <v/>
      </c>
      <c r="D35" s="28">
        <f>ROUNDUP(((NORM.S.INV(1-(1-0.95)/2)^2*0.3*(1-0.3)/0.1^2))/(1+((NORM.S.INV(1-(1-0.95)/2)^2*0.3*(1-0.3)/0.1^2)-1)/30000),0)</f>
        <v/>
      </c>
      <c r="E35" s="28">
        <f>ROUNDUP(((NORM.S.INV(1-(1-0.95)/2)^2*0.5*(1-0.5)/0.1^2))/(1+((NORM.S.INV(1-(1-0.95)/2)^2*0.5*(1-0.5)/0.1^2)-1)/30000),0)</f>
        <v/>
      </c>
      <c r="F35" s="28">
        <f>ROUNDUP(((NORM.S.INV(1-(1-0.95)/2)^2*0.7*(1-0.7)/0.1^2))/(1+((NORM.S.INV(1-(1-0.95)/2)^2*0.7*(1-0.7)/0.1^2)-1)/30000),0)</f>
        <v/>
      </c>
    </row>
  </sheetData>
  <mergeCells count="1">
    <mergeCell ref="B28:E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I25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2" ht="26" customHeight="1">
      <c r="B2" s="12" t="inlineStr">
        <is>
          <t>2 · ALOKASI STRATIFIED — PROPORSIONAL vs OPTIMAL (NEYMAN)</t>
        </is>
      </c>
    </row>
    <row r="3" ht="30" customHeight="1">
      <c r="B3" s="2" t="inlineStr">
        <is>
          <t>Bandingkan dua strategi alokasi antar-strata untuk minimisasi varians rata-rata gabungan.</t>
        </is>
      </c>
    </row>
    <row r="5">
      <c r="B5" s="13" t="inlineStr">
        <is>
          <t>INPUT GLOBAL</t>
        </is>
      </c>
    </row>
    <row r="6">
      <c r="B6" s="14" t="inlineStr">
        <is>
          <t>n total (dari sheet Cochran)</t>
        </is>
      </c>
      <c r="C6" s="30">
        <f>'2_COCHRAN'!C23</f>
        <v/>
      </c>
      <c r="D6" s="11" t="inlineStr">
        <is>
          <t>Terkoneksi ke output Cochran. Bisa override manual.</t>
        </is>
      </c>
    </row>
    <row r="7">
      <c r="B7" s="14" t="inlineStr">
        <is>
          <t>Σ N_h (otomatis)</t>
        </is>
      </c>
      <c r="C7" s="31">
        <f>SUM(C11:C17)</f>
        <v/>
      </c>
      <c r="D7" s="11" t="inlineStr">
        <is>
          <t>Jumlah otomatis semua N_h di bawah. Idealnya sama dengan N di Cochran.</t>
        </is>
      </c>
    </row>
    <row r="9">
      <c r="B9" s="13" t="inlineStr">
        <is>
          <t>TABEL STRATA</t>
        </is>
      </c>
    </row>
    <row r="10" ht="30" customHeight="1">
      <c r="B10" s="32" t="inlineStr">
        <is>
          <t>Stratum (h)</t>
        </is>
      </c>
      <c r="C10" s="32" t="inlineStr">
        <is>
          <t>N_h</t>
        </is>
      </c>
      <c r="D10" s="32" t="inlineStr">
        <is>
          <t>S_h (std)</t>
        </is>
      </c>
      <c r="E10" s="32" t="inlineStr">
        <is>
          <t>W_h = N_h/N</t>
        </is>
      </c>
      <c r="F10" s="32" t="inlineStr">
        <is>
          <t>n_h PROPORS.</t>
        </is>
      </c>
      <c r="G10" s="32" t="inlineStr">
        <is>
          <t>N_h·S_h</t>
        </is>
      </c>
      <c r="H10" s="32" t="inlineStr">
        <is>
          <t>n_h NEYMAN</t>
        </is>
      </c>
      <c r="I10" s="32" t="inlineStr">
        <is>
          <t>Δ Neyman−Prop</t>
        </is>
      </c>
    </row>
    <row r="11">
      <c r="B11" s="14" t="inlineStr">
        <is>
          <t>S1 Teknik</t>
        </is>
      </c>
      <c r="C11" s="19" t="n">
        <v>9000</v>
      </c>
      <c r="D11" s="18" t="n">
        <v>1.8</v>
      </c>
      <c r="E11" s="33">
        <f>C11/$C$7</f>
        <v/>
      </c>
      <c r="F11" s="23">
        <f>ROUND($C$6*E11,0)</f>
        <v/>
      </c>
      <c r="G11" s="34">
        <f>C11*D11</f>
        <v/>
      </c>
      <c r="H11" s="23">
        <f>ROUND($C$6*G11/SUM($G$11:$G$17),0)</f>
        <v/>
      </c>
      <c r="I11" s="35">
        <f>H11-F11</f>
        <v/>
      </c>
    </row>
    <row r="12">
      <c r="B12" s="14" t="inlineStr">
        <is>
          <t>S1 Ekonomi</t>
        </is>
      </c>
      <c r="C12" s="19" t="n">
        <v>6500</v>
      </c>
      <c r="D12" s="18" t="n">
        <v>2.1</v>
      </c>
      <c r="E12" s="33">
        <f>C12/$C$7</f>
        <v/>
      </c>
      <c r="F12" s="23">
        <f>ROUND($C$6*E12,0)</f>
        <v/>
      </c>
      <c r="G12" s="34">
        <f>C12*D12</f>
        <v/>
      </c>
      <c r="H12" s="23">
        <f>ROUND($C$6*G12/SUM($G$11:$G$17),0)</f>
        <v/>
      </c>
      <c r="I12" s="35">
        <f>H12-F12</f>
        <v/>
      </c>
    </row>
    <row r="13">
      <c r="B13" s="14" t="inlineStr">
        <is>
          <t>S1 Sains/MIPA</t>
        </is>
      </c>
      <c r="C13" s="19" t="n">
        <v>4000</v>
      </c>
      <c r="D13" s="18" t="n">
        <v>2.4</v>
      </c>
      <c r="E13" s="33">
        <f>C13/$C$7</f>
        <v/>
      </c>
      <c r="F13" s="23">
        <f>ROUND($C$6*E13,0)</f>
        <v/>
      </c>
      <c r="G13" s="34">
        <f>C13*D13</f>
        <v/>
      </c>
      <c r="H13" s="23">
        <f>ROUND($C$6*G13/SUM($G$11:$G$17),0)</f>
        <v/>
      </c>
      <c r="I13" s="35">
        <f>H13-F13</f>
        <v/>
      </c>
    </row>
    <row r="14">
      <c r="B14" s="14" t="inlineStr">
        <is>
          <t>S1 Hukum</t>
        </is>
      </c>
      <c r="C14" s="19" t="n">
        <v>2500</v>
      </c>
      <c r="D14" s="18" t="n">
        <v>1.5</v>
      </c>
      <c r="E14" s="33">
        <f>C14/$C$7</f>
        <v/>
      </c>
      <c r="F14" s="23">
        <f>ROUND($C$6*E14,0)</f>
        <v/>
      </c>
      <c r="G14" s="34">
        <f>C14*D14</f>
        <v/>
      </c>
      <c r="H14" s="23">
        <f>ROUND($C$6*G14/SUM($G$11:$G$17),0)</f>
        <v/>
      </c>
      <c r="I14" s="35">
        <f>H14-F14</f>
        <v/>
      </c>
    </row>
    <row r="15">
      <c r="B15" s="14" t="inlineStr">
        <is>
          <t>S1 ISIP</t>
        </is>
      </c>
      <c r="C15" s="19" t="n">
        <v>3500</v>
      </c>
      <c r="D15" s="18" t="n">
        <v>1.9</v>
      </c>
      <c r="E15" s="33">
        <f>C15/$C$7</f>
        <v/>
      </c>
      <c r="F15" s="23">
        <f>ROUND($C$6*E15,0)</f>
        <v/>
      </c>
      <c r="G15" s="34">
        <f>C15*D15</f>
        <v/>
      </c>
      <c r="H15" s="23">
        <f>ROUND($C$6*G15/SUM($G$11:$G$17),0)</f>
        <v/>
      </c>
      <c r="I15" s="35">
        <f>H15-F15</f>
        <v/>
      </c>
    </row>
    <row r="16">
      <c r="B16" s="14" t="inlineStr">
        <is>
          <t>S2/S3</t>
        </is>
      </c>
      <c r="C16" s="19" t="n">
        <v>1500</v>
      </c>
      <c r="D16" s="18" t="n">
        <v>2.8</v>
      </c>
      <c r="E16" s="33">
        <f>C16/$C$7</f>
        <v/>
      </c>
      <c r="F16" s="23">
        <f>ROUND($C$6*E16,0)</f>
        <v/>
      </c>
      <c r="G16" s="34">
        <f>C16*D16</f>
        <v/>
      </c>
      <c r="H16" s="23">
        <f>ROUND($C$6*G16/SUM($G$11:$G$17),0)</f>
        <v/>
      </c>
      <c r="I16" s="35">
        <f>H16-F16</f>
        <v/>
      </c>
    </row>
    <row r="17">
      <c r="B17" s="14" t="inlineStr">
        <is>
          <t>Vokasi/D4</t>
        </is>
      </c>
      <c r="C17" s="19" t="n">
        <v>3000</v>
      </c>
      <c r="D17" s="18" t="n">
        <v>1.6</v>
      </c>
      <c r="E17" s="33">
        <f>C17/$C$7</f>
        <v/>
      </c>
      <c r="F17" s="23">
        <f>ROUND($C$6*E17,0)</f>
        <v/>
      </c>
      <c r="G17" s="34">
        <f>C17*D17</f>
        <v/>
      </c>
      <c r="H17" s="23">
        <f>ROUND($C$6*G17/SUM($G$11:$G$17),0)</f>
        <v/>
      </c>
      <c r="I17" s="35">
        <f>H17-F17</f>
        <v/>
      </c>
    </row>
    <row r="18">
      <c r="B18" s="13" t="inlineStr">
        <is>
          <t>TOTAL</t>
        </is>
      </c>
      <c r="C18" s="36">
        <f>SUM(C11:C17)</f>
        <v/>
      </c>
      <c r="D18" s="37" t="inlineStr"/>
      <c r="E18" s="38">
        <f>SUM(E11:E17)</f>
        <v/>
      </c>
      <c r="F18" s="23">
        <f>SUM(F11:F17)</f>
        <v/>
      </c>
      <c r="G18" s="39">
        <f>SUM(G11:G17)</f>
        <v/>
      </c>
      <c r="H18" s="23">
        <f>SUM(H11:H17)</f>
        <v/>
      </c>
      <c r="I18" s="40">
        <f>SUM(I11:I17)</f>
        <v/>
      </c>
    </row>
    <row r="20">
      <c r="B20" s="13" t="inlineStr">
        <is>
          <t>PERBANDINGAN VARIANS — mana yang lebih efisien?</t>
        </is>
      </c>
    </row>
    <row r="21">
      <c r="B21" s="14" t="inlineStr">
        <is>
          <t>V(ȳ) PROPORSIONAL</t>
        </is>
      </c>
      <c r="C21" s="17">
        <f>SUMPRODUCT((1-F11:F17/C11:C17)*D11:D17^2*E11:F17^2/E11:E17)</f>
        <v/>
      </c>
      <c r="D21" s="11" t="inlineStr">
        <is>
          <t>Σ (1 − n_h/N_h) · S_h² · W_h² / (n_h/N_h) — pendekatan. Approx untuk perbandingan.</t>
        </is>
      </c>
    </row>
    <row r="22">
      <c r="B22" s="14" t="inlineStr">
        <is>
          <t>V(ȳ) NEYMAN (minimum)</t>
        </is>
      </c>
      <c r="C22" s="17">
        <f>(SUMPRODUCT(C11:C17*D11:D17)^2 - SUMPRODUCT(E11:E17*D11:D17^2*C11:C17))/(C6)</f>
        <v/>
      </c>
      <c r="D22" s="11" t="inlineStr">
        <is>
          <t>Varians minimum teoritis untuk alokasi Neyman. Selalu ≤ proporsional.</t>
        </is>
      </c>
    </row>
    <row r="23">
      <c r="B23" s="14" t="inlineStr">
        <is>
          <t>Efisiensi Neyman vs Proporsional</t>
        </is>
      </c>
      <c r="C23" s="41">
        <f>C21/C22</f>
        <v/>
      </c>
      <c r="D23" s="11" t="inlineStr">
        <is>
          <t>Ratio &gt; 1 → Neyman lebih efisien (varians lebih kecil). Semakin bervariasi S_h antar-strata, semakin besar untung Neyman.</t>
        </is>
      </c>
    </row>
    <row r="25">
      <c r="B25" s="11" t="inlineStr">
        <is>
          <t>CARA BACA:  Kolom F = alokasi proporsional (n_h ∝ N_h). Kolom H = alokasi Neyman (n_h ∝ N_h·S_h).
Kolom Δ merah = Neyman mengambil SAMPEL LEBIH BANYAK dari stratum yang lebih bervariasi (S_h tinggi).
Stratum dengan S_h kecil (homogen) cukup sedikit sampel — sudah mewakili.
SYARAT NAMPAK NYATA:  Ubah D11 (S_h Teknik) ke 3,5 — perhatikan H11 melonjak dan efisiensi Neyman membaik.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D33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60" customWidth="1" min="4" max="4"/>
  </cols>
  <sheetData>
    <row r="2" ht="26" customHeight="1">
      <c r="B2" s="12" t="inlineStr">
        <is>
          <t>3 · SAMPLING SISTEMATIS — k = N/n, RANDOM START</t>
        </is>
      </c>
    </row>
    <row r="3" ht="30" customHeight="1">
      <c r="B3" s="2" t="inlineStr">
        <is>
          <t>Pilih tiap unit ke-k dari daftar terurut, mulai dari random start r ∈ [1, k].</t>
        </is>
      </c>
    </row>
    <row r="5">
      <c r="B5" s="13" t="inlineStr">
        <is>
          <t>INPUT</t>
        </is>
      </c>
    </row>
    <row r="6">
      <c r="B6" s="14" t="inlineStr">
        <is>
          <t>N (populasi)</t>
        </is>
      </c>
      <c r="C6" s="19" t="n">
        <v>30000</v>
      </c>
      <c r="D6" s="11" t="inlineStr">
        <is>
          <t>Ukuran populasi (mis. N=30.000 mahasiswa UNDIP).</t>
        </is>
      </c>
    </row>
    <row r="7">
      <c r="B7" s="14" t="inlineStr">
        <is>
          <t>n (sampel yang diinginkan)</t>
        </is>
      </c>
      <c r="C7" s="30">
        <f>'2_COCHRAN'!C23</f>
        <v/>
      </c>
      <c r="D7" s="11" t="inlineStr">
        <is>
          <t>Terhubung ke Cochran. Bisa override.</t>
        </is>
      </c>
    </row>
    <row r="8">
      <c r="B8" s="14" t="inlineStr">
        <is>
          <t>Random start r (manual isi 1..k)</t>
        </is>
      </c>
      <c r="C8" s="30" t="n">
        <v>7</v>
      </c>
      <c r="D8" s="11" t="inlineStr">
        <is>
          <t>Pilih bilangan bulat antara 1 dan k. Bisa diundi lewat =RANDBETWEEN(1,k) — refresh F9.</t>
        </is>
      </c>
    </row>
    <row r="10">
      <c r="B10" s="13" t="inlineStr">
        <is>
          <t>PERHITUNGAN</t>
        </is>
      </c>
    </row>
    <row r="11">
      <c r="B11" s="14" t="inlineStr">
        <is>
          <t>k (interval) = N/n</t>
        </is>
      </c>
      <c r="C11" s="23">
        <f>ROUND(C6/C7,0)</f>
        <v/>
      </c>
      <c r="D11" s="11" t="inlineStr">
        <is>
          <t>Pembulatan ke bilangan bulat terdekat. Mis. 30.000/379 ≈ 79.</t>
        </is>
      </c>
    </row>
    <row r="12">
      <c r="B12" s="14" t="inlineStr">
        <is>
          <t>Cek: n aktual = FLOOR((N−r)/k)+1</t>
        </is>
      </c>
      <c r="C12" s="42">
        <f>FLOOR((C6-C8)/C11,0)+1</f>
        <v/>
      </c>
      <c r="D12" s="11" t="inlineStr">
        <is>
          <t>Jumlah unit yang benar-benar terambil dengan r dan k ini. Bisa sedikit ≠ n target.</t>
        </is>
      </c>
    </row>
    <row r="13">
      <c r="B13" s="14" t="inlineStr">
        <is>
          <t>Random start alternatif (=RANDBETWEEN)</t>
        </is>
      </c>
      <c r="C13" s="42">
        <f>RANDBETWEEN(1,C11)</f>
        <v/>
      </c>
      <c r="D13" s="11" t="inlineStr">
        <is>
          <t>Tekan F9 untuk undi ulang. Hanya saran — gunakan atau override C8.</t>
        </is>
      </c>
    </row>
    <row r="15">
      <c r="B15" s="13" t="inlineStr">
        <is>
          <t>DAFTAR 15 UNIT TERPILIH PERTAMA</t>
        </is>
      </c>
    </row>
    <row r="16">
      <c r="B16" s="43" t="inlineStr">
        <is>
          <t>i (urutan)</t>
        </is>
      </c>
      <c r="C16" s="2" t="inlineStr">
        <is>
          <t>Nomor unit</t>
        </is>
      </c>
    </row>
    <row r="17">
      <c r="B17" s="44" t="n">
        <v>1</v>
      </c>
      <c r="C17" s="45">
        <f>$C$8+(B17-1)*$C$11</f>
        <v/>
      </c>
    </row>
    <row r="18">
      <c r="B18" s="44" t="n">
        <v>2</v>
      </c>
      <c r="C18" s="45">
        <f>$C$8+(B18-1)*$C$11</f>
        <v/>
      </c>
    </row>
    <row r="19">
      <c r="B19" s="44" t="n">
        <v>3</v>
      </c>
      <c r="C19" s="45">
        <f>$C$8+(B19-1)*$C$11</f>
        <v/>
      </c>
    </row>
    <row r="20">
      <c r="B20" s="44" t="n">
        <v>4</v>
      </c>
      <c r="C20" s="45">
        <f>$C$8+(B20-1)*$C$11</f>
        <v/>
      </c>
    </row>
    <row r="21">
      <c r="B21" s="44" t="n">
        <v>5</v>
      </c>
      <c r="C21" s="45">
        <f>$C$8+(B21-1)*$C$11</f>
        <v/>
      </c>
    </row>
    <row r="22">
      <c r="B22" s="44" t="n">
        <v>6</v>
      </c>
      <c r="C22" s="45">
        <f>$C$8+(B22-1)*$C$11</f>
        <v/>
      </c>
    </row>
    <row r="23">
      <c r="B23" s="44" t="n">
        <v>7</v>
      </c>
      <c r="C23" s="45">
        <f>$C$8+(B23-1)*$C$11</f>
        <v/>
      </c>
    </row>
    <row r="24">
      <c r="B24" s="44" t="n">
        <v>8</v>
      </c>
      <c r="C24" s="45">
        <f>$C$8+(B24-1)*$C$11</f>
        <v/>
      </c>
    </row>
    <row r="25">
      <c r="B25" s="44" t="n">
        <v>9</v>
      </c>
      <c r="C25" s="45">
        <f>$C$8+(B25-1)*$C$11</f>
        <v/>
      </c>
    </row>
    <row r="26">
      <c r="B26" s="44" t="n">
        <v>10</v>
      </c>
      <c r="C26" s="45">
        <f>$C$8+(B26-1)*$C$11</f>
        <v/>
      </c>
    </row>
    <row r="27">
      <c r="B27" s="44" t="n">
        <v>11</v>
      </c>
      <c r="C27" s="45">
        <f>$C$8+(B27-1)*$C$11</f>
        <v/>
      </c>
    </row>
    <row r="28">
      <c r="B28" s="44" t="n">
        <v>12</v>
      </c>
      <c r="C28" s="45">
        <f>$C$8+(B28-1)*$C$11</f>
        <v/>
      </c>
    </row>
    <row r="29">
      <c r="B29" s="44" t="n">
        <v>13</v>
      </c>
      <c r="C29" s="45">
        <f>$C$8+(B29-1)*$C$11</f>
        <v/>
      </c>
    </row>
    <row r="30">
      <c r="B30" s="44" t="n">
        <v>14</v>
      </c>
      <c r="C30" s="45">
        <f>$C$8+(B30-1)*$C$11</f>
        <v/>
      </c>
    </row>
    <row r="31">
      <c r="B31" s="44" t="n">
        <v>15</v>
      </c>
      <c r="C31" s="45">
        <f>$C$8+(B31-1)*$C$11</f>
        <v/>
      </c>
    </row>
    <row r="33">
      <c r="B33" s="6" t="inlineStr">
        <is>
          <t>POLA:</t>
        </is>
      </c>
      <c r="C33" s="11" t="inlineStr">
        <is>
          <t>Unit terpilih: r, r+k, r+2k, r+3k, … .
Misal r=7, k=79 → 7, 86, 165, 244, 323, 402, 481, …
PERINGATAN PERIODISITAS:  Jika daftar punya pola siklik yang sama dengan k (mis. daftar berurutan per-departemen dengan ukuran 79), sampling sistematis menjadi bias. Acak daftar dulu sebelum menerapkan k.</t>
        </is>
      </c>
    </row>
  </sheetData>
  <mergeCells count="1">
    <mergeCell ref="C16:D1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F25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4" customWidth="1" min="3" max="3"/>
    <col width="14" customWidth="1" min="4" max="4"/>
    <col width="14" customWidth="1" min="5" max="5"/>
    <col width="50" customWidth="1" min="6" max="6"/>
  </cols>
  <sheetData>
    <row r="2" ht="26" customHeight="1">
      <c r="B2" s="12" t="inlineStr">
        <is>
          <t>4 · MULTI-STAGE SAMPLING — SURVEI NASIONAL 3 TAHAP</t>
        </is>
      </c>
    </row>
    <row r="3" ht="30" customHeight="1">
      <c r="B3" s="2" t="inlineStr">
        <is>
          <t>Contoh: survei nasional → Pilih Kabupaten → Kelurahan → Rumah Tangga.</t>
        </is>
      </c>
    </row>
    <row r="5">
      <c r="B5" s="13" t="inlineStr">
        <is>
          <t>TAHAP 1 — Primary Sampling Unit (Kabupaten)</t>
        </is>
      </c>
    </row>
    <row r="6">
      <c r="B6" s="14" t="inlineStr">
        <is>
          <t>Total kabupaten di populasi</t>
        </is>
      </c>
      <c r="C6" s="30" t="n">
        <v>514</v>
      </c>
    </row>
    <row r="7">
      <c r="B7" s="14" t="inlineStr">
        <is>
          <t>Kabupaten dipilih (n1)</t>
        </is>
      </c>
      <c r="C7" s="30" t="n">
        <v>30</v>
      </c>
    </row>
    <row r="8">
      <c r="B8" s="14" t="inlineStr">
        <is>
          <t>Peluang terpilih per PSU</t>
        </is>
      </c>
      <c r="C8" s="17">
        <f>C7/C6</f>
        <v/>
      </c>
      <c r="F8" s="11" t="inlineStr">
        <is>
          <t>f1 = n1/N1. Peluang sebuah kabupaten terpilih.</t>
        </is>
      </c>
    </row>
    <row r="10">
      <c r="B10" s="13" t="inlineStr">
        <is>
          <t>TAHAP 2 — Secondary Sampling Unit (Kelurahan)</t>
        </is>
      </c>
    </row>
    <row r="11">
      <c r="B11" s="14" t="inlineStr">
        <is>
          <t>Rata-rata kelurahan per kabupaten</t>
        </is>
      </c>
      <c r="C11" s="30" t="n">
        <v>20</v>
      </c>
    </row>
    <row r="12">
      <c r="B12" s="14" t="inlineStr">
        <is>
          <t>Kelurahan dipilih per kabupaten</t>
        </is>
      </c>
      <c r="C12" s="30" t="n">
        <v>4</v>
      </c>
    </row>
    <row r="13">
      <c r="B13" s="14" t="inlineStr">
        <is>
          <t>Peluang terpilih per SSU (bersyarat)</t>
        </is>
      </c>
      <c r="C13" s="17">
        <f>C12/C11</f>
        <v/>
      </c>
      <c r="F13" s="11" t="inlineStr">
        <is>
          <t>f2 = n2/N2. Peluang kelurahan terpilih di dalam kabupaten terpilih.</t>
        </is>
      </c>
    </row>
    <row r="15">
      <c r="B15" s="13" t="inlineStr">
        <is>
          <t>TAHAP 3 — Ultimate Sampling Unit (Rumah Tangga)</t>
        </is>
      </c>
    </row>
    <row r="16">
      <c r="B16" s="14" t="inlineStr">
        <is>
          <t>Rata-rata KK per kelurahan</t>
        </is>
      </c>
      <c r="C16" s="30" t="n">
        <v>500</v>
      </c>
    </row>
    <row r="17">
      <c r="B17" s="14" t="inlineStr">
        <is>
          <t>KK disurvei per kelurahan</t>
        </is>
      </c>
      <c r="C17" s="30" t="n">
        <v>10</v>
      </c>
    </row>
    <row r="18">
      <c r="B18" s="14" t="inlineStr">
        <is>
          <t>Peluang terpilih per USU</t>
        </is>
      </c>
      <c r="C18" s="17">
        <f>C17/C16</f>
        <v/>
      </c>
      <c r="F18" s="11" t="inlineStr">
        <is>
          <t>f3 = n3/N3. Peluang KK terpilih di dalam kelurahan terpilih.</t>
        </is>
      </c>
    </row>
    <row r="20">
      <c r="B20" s="13" t="inlineStr">
        <is>
          <t>RINGKASAN</t>
        </is>
      </c>
    </row>
    <row r="21">
      <c r="B21" s="14" t="inlineStr">
        <is>
          <t>Total KK disurvei (n akhir)</t>
        </is>
      </c>
      <c r="C21" s="46">
        <f>C7*C12*C17</f>
        <v/>
      </c>
      <c r="F21" s="11" t="inlineStr">
        <is>
          <t>★ Responden akhir = n1 × n2 × n3. Untuk default: 30×4×10 = 1.200 KK.</t>
        </is>
      </c>
    </row>
    <row r="22">
      <c r="B22" s="14" t="inlineStr">
        <is>
          <t>Sampling fraction keseluruhan f = f1·f2·f3</t>
        </is>
      </c>
      <c r="C22" s="47">
        <f>C8*C13*C18</f>
        <v/>
      </c>
      <c r="F22" s="11" t="inlineStr">
        <is>
          <t>Peluang sebuah KK terpilih dari seluruh populasi.</t>
        </is>
      </c>
    </row>
    <row r="23">
      <c r="B23" s="14" t="inlineStr">
        <is>
          <t>Beban sampling weight = 1/f</t>
        </is>
      </c>
      <c r="C23" s="48">
        <f>1/C22</f>
        <v/>
      </c>
      <c r="F23" s="11" t="inlineStr">
        <is>
          <t>Tiap responden mewakili ~1/f rumah tangga di populasi. Dipakai untuk pembobotan.</t>
        </is>
      </c>
    </row>
    <row r="25">
      <c r="B25" s="14" t="inlineStr">
        <is>
          <t>VERIFIKASI POPULASI TERSIRAT</t>
        </is>
      </c>
      <c r="C25" s="31">
        <f>C6*C11*C16</f>
        <v/>
      </c>
      <c r="F25" s="11" t="inlineStr">
        <is>
          <t>N implisit = N1 × N2 × N3 = total rumah tangga di populasi (asumsi homogen).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D27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4" customWidth="1" min="3" max="3"/>
    <col width="60" customWidth="1" min="4" max="4"/>
  </cols>
  <sheetData>
    <row r="2" ht="26" customHeight="1">
      <c r="B2" s="12" t="inlineStr">
        <is>
          <t>5 · CLUSTER SAMPLING — DESIGN EFFECT (DEFF)</t>
        </is>
      </c>
    </row>
    <row r="3" ht="30" customHeight="1">
      <c r="B3" s="2" t="inlineStr">
        <is>
          <t>DEFF = 1 + ρ(m−1). Cluster mengurangi efisiensi bila ρ tinggi (elemen dalam klaster mirip).</t>
        </is>
      </c>
    </row>
    <row r="5">
      <c r="B5" s="13" t="inlineStr">
        <is>
          <t>INPUT</t>
        </is>
      </c>
    </row>
    <row r="6">
      <c r="B6" s="14" t="inlineStr">
        <is>
          <t>n SRS (sampel ideal, dari Cochran)</t>
        </is>
      </c>
      <c r="C6" s="30">
        <f>'2_COCHRAN'!C23</f>
        <v/>
      </c>
      <c r="D6" s="11" t="inlineStr">
        <is>
          <t>Ukuran sampel yang dibutuhkan seandainya pakai SRS murni.</t>
        </is>
      </c>
    </row>
    <row r="7">
      <c r="B7" s="14" t="inlineStr">
        <is>
          <t>Intra-cluster correlation (ρ)</t>
        </is>
      </c>
      <c r="C7" s="49" t="n">
        <v>0.05</v>
      </c>
      <c r="D7" s="11" t="inlineStr">
        <is>
          <t>ρ = 0 → elemen dalam klaster tak berkaitan (setara SRS). ρ = 1 → semua elemen dalam klaster identik. Survei pendidikan umumnya ρ = 0,01–0,15.</t>
        </is>
      </c>
    </row>
    <row r="8">
      <c r="B8" s="14" t="inlineStr">
        <is>
          <t>Elemen per klaster (m)</t>
        </is>
      </c>
      <c r="C8" s="30" t="n">
        <v>25</v>
      </c>
      <c r="D8" s="11" t="inlineStr">
        <is>
          <t>Berapa elemen (mis. siswa) di-survei per klaster (mis. sekolah).</t>
        </is>
      </c>
    </row>
    <row r="10">
      <c r="B10" s="13" t="inlineStr">
        <is>
          <t>PERHITUNGAN</t>
        </is>
      </c>
    </row>
    <row r="11">
      <c r="B11" s="14" t="inlineStr">
        <is>
          <t>DEFF = 1 + ρ·(m − 1)</t>
        </is>
      </c>
      <c r="C11" s="50">
        <f>1+C7*(C8-1)</f>
        <v/>
      </c>
      <c r="D11" s="11" t="inlineStr">
        <is>
          <t>Faktor pengali. DEFF &gt; 1 berarti cluster kurang efisien dari SRS.</t>
        </is>
      </c>
    </row>
    <row r="12">
      <c r="B12" s="14" t="inlineStr">
        <is>
          <t>n_cluster = n_SRS × DEFF</t>
        </is>
      </c>
      <c r="C12" s="24">
        <f>ROUNDUP(C6*C11,0)</f>
        <v/>
      </c>
      <c r="D12" s="11" t="inlineStr">
        <is>
          <t>★ Sampel aktual yang dibutuhkan jika memakai desain cluster.</t>
        </is>
      </c>
    </row>
    <row r="13">
      <c r="B13" s="14" t="inlineStr">
        <is>
          <t>Pemborosan sampel (n_cluster − n_SRS)</t>
        </is>
      </c>
      <c r="C13" s="51">
        <f>C12-C6</f>
        <v/>
      </c>
      <c r="D13" s="11" t="inlineStr">
        <is>
          <t>Berapa sampel tambahan karena efek desain.</t>
        </is>
      </c>
    </row>
    <row r="15">
      <c r="B15" s="13" t="inlineStr">
        <is>
          <t>TABEL — DEFF &amp; n_cluster untuk berbagai m (ρ=0,05)</t>
        </is>
      </c>
    </row>
    <row r="16">
      <c r="B16" s="43" t="inlineStr">
        <is>
          <t>m (elemen/klaster)</t>
        </is>
      </c>
      <c r="C16" s="2" t="inlineStr">
        <is>
          <t>DEFF</t>
        </is>
      </c>
    </row>
    <row r="17">
      <c r="B17" s="52" t="n">
        <v>1</v>
      </c>
      <c r="C17" s="53">
        <f>1+$C$7*(1-1)</f>
        <v/>
      </c>
      <c r="D17" s="28">
        <f>ROUNDUP($C$6*(1+$C$7*(1-1)),0)</f>
        <v/>
      </c>
    </row>
    <row r="18">
      <c r="B18" s="52" t="n">
        <v>5</v>
      </c>
      <c r="C18" s="53">
        <f>1+$C$7*(5-1)</f>
        <v/>
      </c>
      <c r="D18" s="28">
        <f>ROUNDUP($C$6*(1+$C$7*(5-1)),0)</f>
        <v/>
      </c>
    </row>
    <row r="19">
      <c r="B19" s="52" t="n">
        <v>10</v>
      </c>
      <c r="C19" s="53">
        <f>1+$C$7*(10-1)</f>
        <v/>
      </c>
      <c r="D19" s="28">
        <f>ROUNDUP($C$6*(1+$C$7*(10-1)),0)</f>
        <v/>
      </c>
    </row>
    <row r="20">
      <c r="B20" s="52" t="n">
        <v>20</v>
      </c>
      <c r="C20" s="53">
        <f>1+$C$7*(20-1)</f>
        <v/>
      </c>
      <c r="D20" s="28">
        <f>ROUNDUP($C$6*(1+$C$7*(20-1)),0)</f>
        <v/>
      </c>
    </row>
    <row r="21">
      <c r="B21" s="52" t="n">
        <v>25</v>
      </c>
      <c r="C21" s="54">
        <f>1+$C$7*(25-1)</f>
        <v/>
      </c>
      <c r="D21" s="29">
        <f>ROUNDUP($C$6*(1+$C$7*(25-1)),0)</f>
        <v/>
      </c>
    </row>
    <row r="22">
      <c r="B22" s="52" t="n">
        <v>50</v>
      </c>
      <c r="C22" s="53">
        <f>1+$C$7*(50-1)</f>
        <v/>
      </c>
      <c r="D22" s="28">
        <f>ROUNDUP($C$6*(1+$C$7*(50-1)),0)</f>
        <v/>
      </c>
    </row>
    <row r="23">
      <c r="B23" s="52" t="n">
        <v>100</v>
      </c>
      <c r="C23" s="53">
        <f>1+$C$7*(100-1)</f>
        <v/>
      </c>
      <c r="D23" s="28">
        <f>ROUNDUP($C$6*(1+$C$7*(100-1)),0)</f>
        <v/>
      </c>
    </row>
    <row r="26">
      <c r="B26" s="25" t="inlineStr">
        <is>
          <t>STRATEGI</t>
        </is>
      </c>
    </row>
    <row r="27">
      <c r="B27" s="11" t="inlineStr">
        <is>
          <t>Mengurangi DEFF ada dua jalur:
  (a) Turunkan ρ — susun klaster heterogen (jangan hanya siswa kelas A; campur kelas A,B,C).
  (b) Perbanyak klaster (naikkan #cluster), kurangi elemen per klaster (turunkan m).
Banyak klaster kecil hampir selalu lebih efisien daripada sedikit klaster besar — tapi biaya logistik naik.</t>
        </is>
      </c>
    </row>
  </sheetData>
  <mergeCells count="1">
    <mergeCell ref="C16:D1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G30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50" customWidth="1" min="7" max="7"/>
  </cols>
  <sheetData>
    <row r="2" ht="26" customHeight="1">
      <c r="B2" s="12" t="inlineStr">
        <is>
          <t>6 · STUDI KASUS — SURVEI MAHASISWA UNDIP (N = 30.000)</t>
        </is>
      </c>
    </row>
    <row r="3" ht="30" customHeight="1">
      <c r="B3" s="2" t="inlineStr">
        <is>
          <t>Konsolidasi: Cochran+FPC → alokasi 7 fakultas → systematic k → desain cluster.</t>
        </is>
      </c>
    </row>
    <row r="5">
      <c r="B5" s="13" t="inlineStr">
        <is>
          <t>LANGKAH 1 — UKURAN SAMPEL</t>
        </is>
      </c>
    </row>
    <row r="6">
      <c r="B6" s="14" t="inlineStr">
        <is>
          <t>n (dari Cochran+FPC)</t>
        </is>
      </c>
      <c r="C6" s="23">
        <f>'2_COCHRAN'!C23</f>
        <v/>
      </c>
      <c r="G6" s="11" t="inlineStr">
        <is>
          <t>Output sheet 2. Misal: 95% CI, e=5%, N=30.000 → n ≈ 379.</t>
        </is>
      </c>
    </row>
    <row r="7">
      <c r="B7" s="14" t="inlineStr">
        <is>
          <t>Margin error aktual yang dicapai</t>
        </is>
      </c>
      <c r="C7" s="55">
        <f>'2_COCHRAN'!C6</f>
        <v/>
      </c>
      <c r="G7" s="11" t="inlineStr">
        <is>
          <t>e yang dipakai (mis. 5%).</t>
        </is>
      </c>
    </row>
    <row r="8">
      <c r="B8" s="14" t="inlineStr">
        <is>
          <t>Estimasi proporsi p yang dipakai</t>
        </is>
      </c>
      <c r="C8" s="41">
        <f>'2_COCHRAN'!C9</f>
        <v/>
      </c>
      <c r="G8" s="11" t="inlineStr">
        <is>
          <t>p=0,5 (konservatif) atau estimasi pilot.</t>
        </is>
      </c>
    </row>
    <row r="10">
      <c r="B10" s="13" t="inlineStr">
        <is>
          <t>LANGKAH 2 — ALOKASI ANTAR FAKULTAS</t>
        </is>
      </c>
    </row>
    <row r="11">
      <c r="B11" s="32" t="inlineStr">
        <is>
          <t>Fakultas</t>
        </is>
      </c>
      <c r="C11" s="32" t="inlineStr">
        <is>
          <t>N_h</t>
        </is>
      </c>
      <c r="D11" s="32" t="inlineStr">
        <is>
          <t>W_h</t>
        </is>
      </c>
      <c r="E11" s="32" t="inlineStr">
        <is>
          <t>n_h prop</t>
        </is>
      </c>
      <c r="F11" s="32" t="inlineStr">
        <is>
          <t>n_h Neyman</t>
        </is>
      </c>
      <c r="G11" s="32" t="inlineStr">
        <is>
          <t>Catatan</t>
        </is>
      </c>
    </row>
    <row r="12">
      <c r="B12" s="56">
        <f>'3_STRATIFIED'!B11</f>
        <v/>
      </c>
      <c r="C12" s="57">
        <f>'3_STRATIFIED'!C11</f>
        <v/>
      </c>
      <c r="D12" s="58">
        <f>'3_STRATIFIED'!E11</f>
        <v/>
      </c>
      <c r="E12" s="59">
        <f>'3_STRATIFIED'!F11</f>
        <v/>
      </c>
      <c r="F12" s="59">
        <f>'3_STRATIFIED'!H11</f>
        <v/>
      </c>
      <c r="G12" s="11" t="inlineStr">
        <is>
          <t>Teknik dominan, heterogen jurusan</t>
        </is>
      </c>
    </row>
    <row r="13">
      <c r="B13" s="56">
        <f>'3_STRATIFIED'!B12</f>
        <v/>
      </c>
      <c r="C13" s="57">
        <f>'3_STRATIFIED'!C12</f>
        <v/>
      </c>
      <c r="D13" s="58">
        <f>'3_STRATIFIED'!E12</f>
        <v/>
      </c>
      <c r="E13" s="59">
        <f>'3_STRATIFIED'!F12</f>
        <v/>
      </c>
      <c r="F13" s="59">
        <f>'3_STRATIFIED'!H12</f>
        <v/>
      </c>
      <c r="G13" s="11" t="inlineStr">
        <is>
          <t>FEB paling besar S_h (Jurusan beragam)</t>
        </is>
      </c>
    </row>
    <row r="14">
      <c r="B14" s="56">
        <f>'3_STRATIFIED'!B13</f>
        <v/>
      </c>
      <c r="C14" s="57">
        <f>'3_STRATIFIED'!C13</f>
        <v/>
      </c>
      <c r="D14" s="58">
        <f>'3_STRATIFIED'!E13</f>
        <v/>
      </c>
      <c r="E14" s="59">
        <f>'3_STRATIFIED'!F13</f>
        <v/>
      </c>
      <c r="F14" s="59">
        <f>'3_STRATIFIED'!H13</f>
        <v/>
      </c>
      <c r="G14" s="11" t="inlineStr">
        <is>
          <t>Sains — variansi nilai tinggi</t>
        </is>
      </c>
    </row>
    <row r="15">
      <c r="B15" s="56">
        <f>'3_STRATIFIED'!B14</f>
        <v/>
      </c>
      <c r="C15" s="57">
        <f>'3_STRATIFIED'!C14</f>
        <v/>
      </c>
      <c r="D15" s="58">
        <f>'3_STRATIFIED'!E14</f>
        <v/>
      </c>
      <c r="E15" s="59">
        <f>'3_STRATIFIED'!F14</f>
        <v/>
      </c>
      <c r="F15" s="59">
        <f>'3_STRATIFIED'!H14</f>
        <v/>
      </c>
      <c r="G15" s="11" t="inlineStr">
        <is>
          <t>Hukum — relatif homogen</t>
        </is>
      </c>
    </row>
    <row r="16">
      <c r="B16" s="56">
        <f>'3_STRATIFIED'!B15</f>
        <v/>
      </c>
      <c r="C16" s="57">
        <f>'3_STRATIFIED'!C15</f>
        <v/>
      </c>
      <c r="D16" s="58">
        <f>'3_STRATIFIED'!E15</f>
        <v/>
      </c>
      <c r="E16" s="59">
        <f>'3_STRATIFIED'!F15</f>
        <v/>
      </c>
      <c r="F16" s="59">
        <f>'3_STRATIFIED'!H15</f>
        <v/>
      </c>
      <c r="G16" s="11" t="inlineStr">
        <is>
          <t>ISIP banyak program studi</t>
        </is>
      </c>
    </row>
    <row r="17">
      <c r="B17" s="56">
        <f>'3_STRATIFIED'!B16</f>
        <v/>
      </c>
      <c r="C17" s="57">
        <f>'3_STRATIFIED'!C16</f>
        <v/>
      </c>
      <c r="D17" s="58">
        <f>'3_STRATIFIED'!E16</f>
        <v/>
      </c>
      <c r="E17" s="59">
        <f>'3_STRATIFIED'!F16</f>
        <v/>
      </c>
      <c r="F17" s="59">
        <f>'3_STRATIFIED'!H16</f>
        <v/>
      </c>
      <c r="G17" s="11" t="inlineStr">
        <is>
          <t>S2/S3 paling bervariasi (Neyman ambil lebih banyak)</t>
        </is>
      </c>
    </row>
    <row r="18">
      <c r="B18" s="56">
        <f>'3_STRATIFIED'!B17</f>
        <v/>
      </c>
      <c r="C18" s="57">
        <f>'3_STRATIFIED'!C17</f>
        <v/>
      </c>
      <c r="D18" s="58">
        <f>'3_STRATIFIED'!E17</f>
        <v/>
      </c>
      <c r="E18" s="59">
        <f>'3_STRATIFIED'!F17</f>
        <v/>
      </c>
      <c r="F18" s="59">
        <f>'3_STRATIFIED'!H17</f>
        <v/>
      </c>
      <c r="G18" s="11" t="inlineStr">
        <is>
          <t>Vokasi — homogen</t>
        </is>
      </c>
    </row>
    <row r="19">
      <c r="B19" s="60" t="inlineStr">
        <is>
          <t>TOTAL</t>
        </is>
      </c>
      <c r="C19" s="45">
        <f>SUM(C12:C18)</f>
        <v/>
      </c>
      <c r="D19" s="17">
        <f>SUM(D12:D18)</f>
        <v/>
      </c>
      <c r="E19" s="23">
        <f>SUM(E12:E18)</f>
        <v/>
      </c>
      <c r="F19" s="23">
        <f>SUM(F12:F18)</f>
        <v/>
      </c>
    </row>
    <row r="21">
      <c r="B21" s="13" t="inlineStr">
        <is>
          <t>LANGKAH 3 — SYSTEMATIC DI TIAP FAKULTAS</t>
        </is>
      </c>
    </row>
    <row r="22">
      <c r="B22" s="14" t="inlineStr">
        <is>
          <t>k rata-rata (N_fakultas/n_fakultas)</t>
        </is>
      </c>
      <c r="C22" s="61">
        <f>AVERAGE(C12:C18/E12:E18)</f>
        <v/>
      </c>
      <c r="G22" s="11" t="inlineStr">
        <is>
          <t>Rata-rata interval systematic antar fakultas (Neyman). Lihat sheet 4 untuk mekanik penuh.</t>
        </is>
      </c>
    </row>
    <row r="23">
      <c r="B23" s="14" t="inlineStr">
        <is>
          <t>Random start (saran)</t>
        </is>
      </c>
      <c r="C23" s="42">
        <f>RANDBETWEEN(1,ROUND(C22,0))</f>
        <v/>
      </c>
      <c r="G23" s="11" t="inlineStr">
        <is>
          <t>Tekan F9 untuk undi ulang per fakultas (lakukan di sheet 4 per fakultas).</t>
        </is>
      </c>
    </row>
    <row r="25">
      <c r="B25" s="13" t="inlineStr">
        <is>
          <t>LANGKAH 4 — DESAIN CLUSTER (JIKA MENERAPkan SURVEI KELAS)</t>
        </is>
      </c>
    </row>
    <row r="26">
      <c r="B26" s="14" t="inlineStr">
        <is>
          <t>DEFF desain cluster UNDIP</t>
        </is>
      </c>
      <c r="C26" s="50">
        <f>'6_CLUSTER_DEFF'!C11</f>
        <v/>
      </c>
      <c r="G26" s="11" t="inlineStr">
        <is>
          <t>Dari sheet 6. Bila survei dilakukan per kelas (bukan per mahasiswa individual).</t>
        </is>
      </c>
    </row>
    <row r="27">
      <c r="B27" s="14" t="inlineStr">
        <is>
          <t>n setelah disesuaikan cluster</t>
        </is>
      </c>
      <c r="C27" s="46">
        <f>'6_CLUSTER_DEFF'!C12</f>
        <v/>
      </c>
      <c r="G27" s="11" t="inlineStr">
        <is>
          <t>Sampel aktual yang disurvei jika pakai desain klaster kelas.</t>
        </is>
      </c>
    </row>
    <row r="29">
      <c r="B29" s="25" t="inlineStr">
        <is>
          <t>RINGKASAN AKHIR</t>
        </is>
      </c>
    </row>
    <row r="30">
      <c r="B30" s="11" t="inlineStr">
        <is>
          <t>Untuk survei mahasiswa UNDIP dengan N=30.000, e=5%, CI 95%, p=0,5:
  • Sampel minimum (Cochran+FPC) ≈ 379 mahasiswa
  • Alokasi Neyman: lebih banyak dari S2/S3 &amp; Sains (variansi tinggi),
    lebih sedikit dari Hukum &amp; Vokasi (variansi rendah)
  • Interval systematic rata-rata ≈ N/n (lihat sheet 4)
  • Bila survei per kelas (cluster), sampel aktual membengkak × DEFF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C19"/>
  <sheetViews>
    <sheetView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70" customWidth="1" min="3" max="3"/>
  </cols>
  <sheetData>
    <row r="2" ht="26" customHeight="1">
      <c r="B2" s="12" t="inlineStr">
        <is>
          <t>7 · KAMUS RUMUS — REFERENSI CEPAT</t>
        </is>
      </c>
    </row>
    <row r="4">
      <c r="B4" s="60" t="inlineStr">
        <is>
          <t>Rumus</t>
        </is>
      </c>
      <c r="C4" s="60" t="inlineStr">
        <is>
          <t>Catatan</t>
        </is>
      </c>
    </row>
    <row r="5" ht="30" customHeight="1">
      <c r="B5" s="62" t="inlineStr">
        <is>
          <t>Cochran (n0, ∞)</t>
        </is>
      </c>
      <c r="C5" s="63" t="inlineStr">
        <is>
          <t>n0 = z² · p · (1−p) / e²   →   z=1,96 untuk 95%, p=0,5 memberi n MAKSIMUM</t>
        </is>
      </c>
    </row>
    <row r="6" ht="30" customHeight="1">
      <c r="B6" s="64" t="inlineStr">
        <is>
          <t>FPC (populasi terbatas)</t>
        </is>
      </c>
      <c r="C6" s="65" t="inlineStr">
        <is>
          <t>n = n0 / (1 + (n0 − 1)/N)   →   mendekati n0 bila N ≫ n0</t>
        </is>
      </c>
    </row>
    <row r="7" ht="30" customHeight="1">
      <c r="B7" s="62" t="inlineStr">
        <is>
          <t>Slovin (varian Indonesia)</t>
        </is>
      </c>
      <c r="C7" s="63" t="inlineStr">
        <is>
          <t>n = N / (1 + N·e²)   →   kurang rigor, tidak memakai z atau p</t>
        </is>
      </c>
    </row>
    <row r="8" ht="30" customHeight="1">
      <c r="B8" s="64" t="inlineStr">
        <is>
          <t>Krejcie &amp; Morgan (1970)</t>
        </is>
      </c>
      <c r="C8" s="65" t="inlineStr">
        <is>
          <t>n = χ² · N · p · (1−p) / (e²(N−1) + χ²·p·(1−p))   →   tabel siap, CI 95%</t>
        </is>
      </c>
    </row>
    <row r="9" ht="30" customHeight="1">
      <c r="B9" s="62" t="inlineStr">
        <is>
          <t>Stratum weight</t>
        </is>
      </c>
      <c r="C9" s="63" t="inlineStr">
        <is>
          <t>W_h = N_h / N   →   proporsi populasi pada stratum h</t>
        </is>
      </c>
    </row>
    <row r="10" ht="30" customHeight="1">
      <c r="B10" s="64" t="inlineStr">
        <is>
          <t>Alokasi proporsional</t>
        </is>
      </c>
      <c r="C10" s="65" t="inlineStr">
        <is>
          <t>n_h = n · W_h = n · (N_h/N)   →   sampel sebanding ukuran stratum</t>
        </is>
      </c>
    </row>
    <row r="11" ht="30" customHeight="1">
      <c r="B11" s="62" t="inlineStr">
        <is>
          <t>Alokasi Neyman (optimal)</t>
        </is>
      </c>
      <c r="C11" s="63" t="inlineStr">
        <is>
          <t>n_h = n · (N_h·S_h) / Σ(N_h·S_h)   →   minimisasi V(ȳ) bila biaya per stratum sama</t>
        </is>
      </c>
    </row>
    <row r="12" ht="30" customHeight="1">
      <c r="B12" s="64" t="inlineStr">
        <is>
          <t>Alokasi optimal dgn biaya</t>
        </is>
      </c>
      <c r="C12" s="65" t="inlineStr">
        <is>
          <t>n_h = n · (N_h·S_h/√c_h) / Σ(N_h·S_h/√c_h)   →   c_h = biaya per unit di stratum h</t>
        </is>
      </c>
    </row>
    <row r="13" ht="30" customHeight="1">
      <c r="B13" s="62" t="inlineStr">
        <is>
          <t>Varians Neyman (minimum)</t>
        </is>
      </c>
      <c r="C13" s="63" t="inlineStr">
        <is>
          <t>V_Neyman(ȳ) = (Σ W_h S_h)² / n − Σ W_h S_h²/N</t>
        </is>
      </c>
    </row>
    <row r="14" ht="30" customHeight="1">
      <c r="B14" s="64" t="inlineStr">
        <is>
          <t>Systematic interval</t>
        </is>
      </c>
      <c r="C14" s="65" t="inlineStr">
        <is>
          <t>k = N/n (dibulatkan), r ~ U{1, …, k}, unit terpilih: r, r+k, r+2k, …</t>
        </is>
      </c>
    </row>
    <row r="15" ht="30" customHeight="1">
      <c r="B15" s="62" t="inlineStr">
        <is>
          <t>Sampling fraction (multistage)</t>
        </is>
      </c>
      <c r="C15" s="63" t="inlineStr">
        <is>
          <t>f_total = f1 · f2 · f3 …   →   peluang akhir sebuah USU terpilih</t>
        </is>
      </c>
    </row>
    <row r="16" ht="30" customHeight="1">
      <c r="B16" s="64" t="inlineStr">
        <is>
          <t>Sampling weight</t>
        </is>
      </c>
      <c r="C16" s="65" t="inlineStr">
        <is>
          <t>w_i = 1/f_total (atau N/n untuk SRS)   →   mewakili berapa unit di populasi</t>
        </is>
      </c>
    </row>
    <row r="17" ht="30" customHeight="1">
      <c r="B17" s="62" t="inlineStr">
        <is>
          <t>Intra-cluster correlation ρ</t>
        </is>
      </c>
      <c r="C17" s="63" t="inlineStr">
        <is>
          <t>ρ = 1 − (σ²_within/2) / σ²_total   →   0 = bebas, 1 = cluster identik</t>
        </is>
      </c>
    </row>
    <row r="18" ht="30" customHeight="1">
      <c r="B18" s="64" t="inlineStr">
        <is>
          <t>Design effect (Kish)</t>
        </is>
      </c>
      <c r="C18" s="65" t="inlineStr">
        <is>
          <t>DEFF = 1 + ρ·(m − 1)   →   m = elemen per klaster</t>
        </is>
      </c>
    </row>
    <row r="19" ht="30" customHeight="1">
      <c r="B19" s="62" t="inlineStr">
        <is>
          <t>Sampel dengan cluster</t>
        </is>
      </c>
      <c r="C19" s="63" t="inlineStr">
        <is>
          <t>n_cluster = n_SRS · DEFF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2026-07-18T18:18:58Z</dcterms:created>
  <dcterms:modified xmlns:dcterms="http://purl.org/dc/terms/" xmlns:xsi="http://www.w3.org/2001/XMLSchema-instance" xsi:type="dcterms:W3CDTF">2026-07-18T18:18:58Z</dcterms:modified>
</cp:coreProperties>
</file>