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INPUT" sheetId="2" state="visible" r:id="rId2"/>
    <sheet xmlns:r="http://schemas.openxmlformats.org/officeDocument/2006/relationships" name="2_IDENTIFIKASI" sheetId="3" state="visible" r:id="rId3"/>
    <sheet xmlns:r="http://schemas.openxmlformats.org/officeDocument/2006/relationships" name="3_LESSEE_GEDUNG" sheetId="4" state="visible" r:id="rId4"/>
    <sheet xmlns:r="http://schemas.openxmlformats.org/officeDocument/2006/relationships" name="4_LESSEE_KENDARAAN" sheetId="5" state="visible" r:id="rId5"/>
    <sheet xmlns:r="http://schemas.openxmlformats.org/officeDocument/2006/relationships" name="5_LESSOR" sheetId="6" state="visible" r:id="rId6"/>
    <sheet xmlns:r="http://schemas.openxmlformats.org/officeDocument/2006/relationships" name="6_CEK" sheetId="7" state="visible" r:id="rId7"/>
  </sheets>
  <definedNames>
    <definedName name="PMT_g">'1_INPUT'!$D$7</definedName>
    <definedName name="r_g">'1_INPUT'!$D$8</definedName>
    <definedName name="n_g">'1_INPUT'!$D$9</definedName>
    <definedName name="FV_g">'1_INPUT'!$D$10</definedName>
    <definedName name="life_g">'1_INPUT'!$D$11</definedName>
    <definedName name="PMT_k">'1_INPUT'!$D$13</definedName>
    <definedName name="r_k">'1_INPUT'!$D$14</definedName>
    <definedName name="n_k">'1_INPUT'!$D$15</definedName>
    <definedName name="FV_k">'1_INPUT'!$D$16</definedName>
    <definedName name="life_k">'1_INPUT'!$D$17</definedName>
    <definedName name="cost_g">'1_INPUT'!$D$19</definedName>
    <definedName name="irr_g">'1_INPUT'!$D$20</definedName>
    <definedName name="thr_ST">'1_INPUT'!$D$22</definedName>
    <definedName name="thr_LV">'1_INPUT'!$D$23</definedName>
    <definedName name="thr_PV">'1_INPUT'!$D$24</definedName>
    <definedName name="thr_LIFE">'1_INPUT'!$D$25</definedName>
    <definedName name="PV_g">'1_INPUT'!$D$28</definedName>
    <definedName name="PV_k">'1_INPUT'!$D$29</definedName>
    <definedName name="lessor_class">'5_LESSOR'!$F$12</definedName>
  </definedNames>
  <calcPr calcId="124519" calcMode="auto" fullCalcOnLoad="1"/>
</workbook>
</file>

<file path=xl/styles.xml><?xml version="1.0" encoding="utf-8"?>
<styleSheet xmlns="http://schemas.openxmlformats.org/spreadsheetml/2006/main">
  <numFmts count="2">
    <numFmt numFmtId="164" formatCode="&quot;Rp&quot;#,##0"/>
    <numFmt numFmtId="165" formatCode="&quot;Rp&quot;#,##0.00"/>
  </numFmts>
  <fonts count="7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</fonts>
  <fills count="8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BBDEFB"/>
      </patternFill>
    </fill>
    <fill>
      <patternFill patternType="solid">
        <fgColor rgb="00FFCDD2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>
      <left/>
      <right/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164" fontId="4" fillId="0" borderId="1" applyAlignment="1" pivotButton="0" quotePrefix="0" xfId="0">
      <alignment horizontal="right" vertical="center"/>
    </xf>
    <xf numFmtId="0" fontId="0" fillId="0" borderId="5" pivotButton="0" quotePrefix="0" xfId="0"/>
    <xf numFmtId="10" fontId="4" fillId="0" borderId="1" applyAlignment="1" pivotButton="0" quotePrefix="0" xfId="0">
      <alignment horizontal="right" vertical="center"/>
    </xf>
    <xf numFmtId="1" fontId="4" fillId="0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0" fontId="5" fillId="5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164" fontId="4" fillId="7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C8E6C9"/>
        </patternFill>
      </fill>
    </dxf>
    <dxf>
      <fill>
        <patternFill patternType="solid">
          <fgColor rgb="00FFCD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5" customWidth="1" min="3" max="3"/>
  </cols>
  <sheetData>
    <row r="2" ht="28" customHeight="1">
      <c r="B2" s="1" t="inlineStr">
        <is>
          <t>AKUNTANSI SEWA (LEASING) PSAK 73 — LESSEE &amp; LESSOR</t>
        </is>
      </c>
    </row>
    <row r="3">
      <c r="B3" s="2" t="inlineStr">
        <is>
          <t>Gedung kantor 5 tahun + kendaraan 3 tahun · PV, ROU asset, lease liability, lessor finance/operating</t>
        </is>
      </c>
    </row>
    <row r="5">
      <c r="B5" s="3" t="inlineStr">
        <is>
          <t>PAKAI CARA INI:</t>
        </is>
      </c>
    </row>
    <row r="6">
      <c r="B6" s="4" t="inlineStr">
        <is>
          <t>1. 1_INPUT</t>
        </is>
      </c>
      <c r="C6" s="5" t="inlineStr">
        <is>
          <t>Isi sel BIRU: pembayaran sewa, suku bunga (incremental borrowing rate), jangka waktu (tahun), fair value, dan untuk lessor: harga perolehan aset. Default: gedung Rp200jt/thn @8% 5 thn, kendaraan Rp50jt/thn @10% 3 thn.</t>
        </is>
      </c>
    </row>
    <row r="7">
      <c r="B7" s="4" t="inlineStr">
        <is>
          <t>2. 2_IDENTIFIKASI</t>
        </is>
      </c>
      <c r="C7" s="5" t="inlineStr">
        <is>
          <t>Tes 'apakah ini sewa?' (PSAK 73 par.9): 5 indikator kontrol + 3 pengecualian (short-term &lt;=12 bln, low-value, purchase option). Output: layak / tidak layak / exempt.</t>
        </is>
      </c>
    </row>
    <row r="8">
      <c r="B8" s="4" t="inlineStr">
        <is>
          <t>3. 3_LESSEE_GEDUNG</t>
        </is>
      </c>
      <c r="C8" s="5" t="inlineStr">
        <is>
          <t>Lessee: hitung PV lease liability (annuity due karena bayar di awal tahun), bangun ROU asset, dan amortisasi 5-tahun. Bunga beban + depresiasi ROU = total beban sewa per tahun.</t>
        </is>
      </c>
    </row>
    <row r="9">
      <c r="B9" s="4" t="inlineStr">
        <is>
          <t>4. 4_LESSEE_KENDARAAN</t>
        </is>
      </c>
      <c r="C9" s="5" t="inlineStr">
        <is>
          <t>Mesin yang sama untuk kendaraan 3-tahun. Bandingkan pola beban: gedung vs kendaraan.</t>
        </is>
      </c>
    </row>
    <row r="10">
      <c r="B10" s="4" t="inlineStr">
        <is>
          <t>5. 5_LESSOR</t>
        </is>
      </c>
      <c r="C10" s="5" t="inlineStr">
        <is>
          <t>Lessor gedung: diklasifikasikan finance (memenuhi tes substansi) vs operating. Finance: laba hari-1 + pendapatan bunga EIR. Operating: aset tetap di neraca + depresiasi + pendapatan sewa straight-line.</t>
        </is>
      </c>
    </row>
    <row r="11">
      <c r="B11" s="4" t="inlineStr">
        <is>
          <t>6. 6_CEK</t>
        </is>
      </c>
      <c r="C11" s="5" t="inlineStr">
        <is>
          <t>Cek silang: (a) liability akhir tahun terakhir -&gt; Rp 0; (b) total beban lessee = bunga + depresisi; (c) pendapatan bunga + laba hari-1 lessor rekonsiliasi; (d) ROU akhir -&gt; 0. Hijau = OK.</t>
        </is>
      </c>
    </row>
    <row r="13">
      <c r="B13" s="6" t="inlineStr">
        <is>
          <t>LEGENDA WARNA:</t>
        </is>
      </c>
    </row>
    <row r="14">
      <c r="B14" s="7" t="inlineStr">
        <is>
          <t>Input manual</t>
        </is>
      </c>
      <c r="C14" s="5" t="inlineStr">
        <is>
          <t>Sel biru = Anda ubah. Hanya di sheet 1_INPUT.</t>
        </is>
      </c>
    </row>
    <row r="15">
      <c r="B15" s="5" t="inlineStr">
        <is>
          <t>Formula hidup</t>
        </is>
      </c>
      <c r="C15" s="5" t="inlineStr">
        <is>
          <t>Sel hitam = dihitung otomatis (PV, EIR, depresiasi). Jangan diketik ulang.</t>
        </is>
      </c>
    </row>
    <row r="16">
      <c r="B16" s="8" t="inlineStr">
        <is>
          <t>Blok Lessee / Lessor</t>
        </is>
      </c>
      <c r="C16" s="5" t="inlineStr">
        <is>
          <t>Biru muda = lessee; merah muda = lessor.</t>
        </is>
      </c>
    </row>
    <row r="17">
      <c r="B17" s="9" t="inlineStr">
        <is>
          <t>Header / sub-judul</t>
        </is>
      </c>
      <c r="C17" s="5" t="inlineStr">
        <is>
          <t>Sel hijau band = sub-judul; sel kuning = hasil kunci (PV, ROU, beban total).</t>
        </is>
      </c>
    </row>
    <row r="19">
      <c r="B19" s="6" t="inlineStr">
        <is>
          <t>ANGKA KUNCI (default):</t>
        </is>
      </c>
    </row>
    <row r="20">
      <c r="B20" s="10" t="inlineStr">
        <is>
          <t>Gedung 5 thn: PV lease liability = Rp 862.425.368 (annuity due, bayar Rp200jt di awal thn @8%).</t>
        </is>
      </c>
    </row>
    <row r="21">
      <c r="B21" s="10" t="inlineStr">
        <is>
          <t xml:space="preserve">  Bunga total 5 thn = Rp 137.574.632 · Pokok = Rp 1.000.000.000 (5 x Rp200jt).</t>
        </is>
      </c>
    </row>
    <row r="22">
      <c r="B22" s="10" t="inlineStr">
        <is>
          <t xml:space="preserve">  ROU asset = Rp 862.425.368 · depresiasi straight-line 5 thn = Rp 172.485.074/thn · NBV akhir = Rp 0.</t>
        </is>
      </c>
    </row>
    <row r="23">
      <c r="B23" s="10" t="inlineStr">
        <is>
          <t>Kendaraan 3 thn: PV = Rp 136.776.860 · bunga total = Rp 13.223.140 · depresiasi = Rp 45.592.287/thn.</t>
        </is>
      </c>
    </row>
    <row r="24">
      <c r="B24" s="10" t="inlineStr">
        <is>
          <t>Lessor finance (gedung): laba hari-1 = Rp 62.425.368 (FV 862,4 - cost 800); pendapatan bunga EIR = Rp 137.574.632.</t>
        </is>
      </c>
    </row>
    <row r="25">
      <c r="B25" s="10" t="inlineStr">
        <is>
          <t>Lessor operating (gedung): depresiasi cost 800/5 = Rp160jt/thn + sewa Rp200jt/thn -&gt; laba kotor Rp40jt/thn.</t>
        </is>
      </c>
    </row>
    <row r="26">
      <c r="B26" s="10" t="inlineStr">
        <is>
          <t>PSAK 73 efektif 1 Januari 2020 (menggantikan PSAK 30); setara IFRS 16. Annuity-due = pembayaran di awal periode.</t>
        </is>
      </c>
    </row>
    <row r="28">
      <c r="B28" s="11" t="inlineStr">
        <is>
          <t>Catatan: lessee PSAK 73 menghapus distinguksi finance/operating (semua -&gt; single model, kecuali exempt). Lessor masih mempertahankan dual-classification.</t>
        </is>
      </c>
    </row>
  </sheetData>
  <mergeCells count="10">
    <mergeCell ref="B21:C21"/>
    <mergeCell ref="B2:C2"/>
    <mergeCell ref="B24:C24"/>
    <mergeCell ref="B25:C25"/>
    <mergeCell ref="B3:C3"/>
    <mergeCell ref="B20:C20"/>
    <mergeCell ref="B28:C28"/>
    <mergeCell ref="B23:C23"/>
    <mergeCell ref="B22:C22"/>
    <mergeCell ref="B26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12" customWidth="1" min="3" max="3"/>
    <col width="16" customWidth="1" min="4" max="4"/>
    <col width="52" customWidth="1" min="5" max="5"/>
  </cols>
  <sheetData>
    <row r="2" ht="28" customHeight="1">
      <c r="B2" s="1" t="inlineStr">
        <is>
          <t>INPUT — PARAMETER SEWA</t>
        </is>
      </c>
    </row>
    <row r="3">
      <c r="B3" s="2" t="inlineStr">
        <is>
          <t>Ubah sel BIRU saja. Sheet lain menghitung ulang otomatis.</t>
        </is>
      </c>
    </row>
    <row r="5" ht="22" customHeight="1">
      <c r="B5" s="9" t="inlineStr">
        <is>
          <t>Variabel</t>
        </is>
      </c>
      <c r="C5" s="9" t="inlineStr">
        <is>
          <t>Simbol</t>
        </is>
      </c>
      <c r="D5" s="9" t="inlineStr">
        <is>
          <t>Nilai</t>
        </is>
      </c>
      <c r="E5" s="9" t="inlineStr">
        <is>
          <t>Satuan / Sumber</t>
        </is>
      </c>
    </row>
    <row r="6">
      <c r="B6" s="8" t="inlineStr">
        <is>
          <t>LESSEE — GEDUNG KANTOR 5 TAHUN</t>
        </is>
      </c>
    </row>
    <row r="7">
      <c r="B7" s="5" t="inlineStr">
        <is>
          <t>Pembayaran sewa tahunan</t>
        </is>
      </c>
      <c r="C7" s="12" t="inlineStr">
        <is>
          <t>PMT_g</t>
        </is>
      </c>
      <c r="D7" s="13" t="n">
        <v>200000000</v>
      </c>
      <c r="E7" s="14" t="inlineStr">
        <is>
          <t>Rp / tahun   (bayar di awal tahun)</t>
        </is>
      </c>
    </row>
    <row r="8">
      <c r="B8" s="5" t="inlineStr">
        <is>
          <t>Incremental borrowing rate</t>
        </is>
      </c>
      <c r="C8" s="12" t="inlineStr">
        <is>
          <t>r_g</t>
        </is>
      </c>
      <c r="D8" s="13" t="n">
        <v>0.08</v>
      </c>
      <c r="E8" s="14" t="inlineStr">
        <is>
          <t>% / tahun   (IBR lessee, PSAK 73 par.27)</t>
        </is>
      </c>
    </row>
    <row r="9">
      <c r="B9" s="5" t="inlineStr">
        <is>
          <t>Jangka waktu sewa</t>
        </is>
      </c>
      <c r="C9" s="12" t="inlineStr">
        <is>
          <t>n_g</t>
        </is>
      </c>
      <c r="D9" s="13" t="n">
        <v>5</v>
      </c>
      <c r="E9" s="14" t="inlineStr">
        <is>
          <t>tahun   (non-cancellable term)</t>
        </is>
      </c>
    </row>
    <row r="10">
      <c r="B10" s="5" t="inlineStr">
        <is>
          <t>Fair value underlying asset</t>
        </is>
      </c>
      <c r="C10" s="12" t="inlineStr">
        <is>
          <t>FV_g</t>
        </is>
      </c>
      <c r="D10" s="13" t="n">
        <v>900000000</v>
      </c>
      <c r="E10" s="14" t="inlineStr">
        <is>
          <t>Rp   (untuk uji PK 50% FV)</t>
        </is>
      </c>
    </row>
    <row r="11">
      <c r="B11" s="5" t="inlineStr">
        <is>
          <t>Umur ekonomis gedung</t>
        </is>
      </c>
      <c r="C11" s="12" t="inlineStr">
        <is>
          <t>life_g</t>
        </is>
      </c>
      <c r="D11" s="13" t="n">
        <v>25</v>
      </c>
      <c r="E11" s="14" t="inlineStr">
        <is>
          <t>tahun   (utk uji klasifikasi lessor)</t>
        </is>
      </c>
    </row>
    <row r="12">
      <c r="B12" s="8" t="inlineStr">
        <is>
          <t>LESSEE — KENDARAAN 3 TAHUN</t>
        </is>
      </c>
    </row>
    <row r="13">
      <c r="B13" s="5" t="inlineStr">
        <is>
          <t>Pembayaran sewa tahunan</t>
        </is>
      </c>
      <c r="C13" s="12" t="inlineStr">
        <is>
          <t>PMT_k</t>
        </is>
      </c>
      <c r="D13" s="13" t="n">
        <v>50000000</v>
      </c>
      <c r="E13" s="14" t="inlineStr">
        <is>
          <t>Rp / tahun   (bayar di awal tahun)</t>
        </is>
      </c>
    </row>
    <row r="14">
      <c r="B14" s="5" t="inlineStr">
        <is>
          <t>Incremental borrowing rate</t>
        </is>
      </c>
      <c r="C14" s="12" t="inlineStr">
        <is>
          <t>r_k</t>
        </is>
      </c>
      <c r="D14" s="13" t="n">
        <v>0.1</v>
      </c>
      <c r="E14" s="14" t="inlineStr">
        <is>
          <t>% / tahun   (IBR lessee)</t>
        </is>
      </c>
    </row>
    <row r="15">
      <c r="B15" s="5" t="inlineStr">
        <is>
          <t>Jangka waktu sewa</t>
        </is>
      </c>
      <c r="C15" s="12" t="inlineStr">
        <is>
          <t>n_k</t>
        </is>
      </c>
      <c r="D15" s="13" t="n">
        <v>3</v>
      </c>
      <c r="E15" s="14" t="inlineStr">
        <is>
          <t>tahun</t>
        </is>
      </c>
    </row>
    <row r="16">
      <c r="B16" s="5" t="inlineStr">
        <is>
          <t>Fair value kendaraan</t>
        </is>
      </c>
      <c r="C16" s="12" t="inlineStr">
        <is>
          <t>FV_k</t>
        </is>
      </c>
      <c r="D16" s="13" t="n">
        <v>180000000</v>
      </c>
      <c r="E16" s="14" t="inlineStr">
        <is>
          <t>Rp</t>
        </is>
      </c>
    </row>
    <row r="17">
      <c r="B17" s="5" t="inlineStr">
        <is>
          <t>Umur ekonomis kendaraan</t>
        </is>
      </c>
      <c r="C17" s="12" t="inlineStr">
        <is>
          <t>life_k</t>
        </is>
      </c>
      <c r="D17" s="13" t="n">
        <v>6</v>
      </c>
      <c r="E17" s="14" t="inlineStr">
        <is>
          <t>tahun</t>
        </is>
      </c>
    </row>
    <row r="18">
      <c r="B18" s="15" t="inlineStr">
        <is>
          <t>LESSOR — GEDUNG (KASUS FINANCE &amp; OPERATING)</t>
        </is>
      </c>
    </row>
    <row r="19">
      <c r="B19" s="5" t="inlineStr">
        <is>
          <t>Harga perolehan (carrying amount)</t>
        </is>
      </c>
      <c r="C19" s="12" t="inlineStr">
        <is>
          <t>cost_g</t>
        </is>
      </c>
      <c r="D19" s="13" t="n">
        <v>800000000</v>
      </c>
      <c r="E19" s="14" t="inlineStr">
        <is>
          <t>Rp   (aset di neraca lessor sebelum disewakan)</t>
        </is>
      </c>
    </row>
    <row r="20">
      <c r="B20" s="5" t="inlineStr">
        <is>
          <t>Tarif bunga implisit lessor</t>
        </is>
      </c>
      <c r="C20" s="12" t="inlineStr">
        <is>
          <t>irr_g</t>
        </is>
      </c>
      <c r="D20" s="13" t="n">
        <v>0.08</v>
      </c>
      <c r="E20" s="14" t="inlineStr">
        <is>
          <t>% / tahun   (Rate implicit in the lease)</t>
        </is>
      </c>
    </row>
    <row r="21">
      <c r="B21" s="9" t="inlineStr">
        <is>
          <t>THRESHOLD — IDENTIFIKASI &amp; EXEMPTION</t>
        </is>
      </c>
    </row>
    <row r="22">
      <c r="B22" s="5" t="inlineStr">
        <is>
          <t>Maksimum sewa jangka pendek</t>
        </is>
      </c>
      <c r="C22" s="12" t="inlineStr">
        <is>
          <t>thr_ST</t>
        </is>
      </c>
      <c r="D22" s="13" t="n">
        <v>12</v>
      </c>
      <c r="E22" s="14" t="inlineStr">
        <is>
          <t>bulan   (&lt;=12 -&gt; short-term exemption)</t>
        </is>
      </c>
    </row>
    <row r="23">
      <c r="B23" s="5" t="inlineStr">
        <is>
          <t>Maksimum nilai aset low-value</t>
        </is>
      </c>
      <c r="C23" s="12" t="inlineStr">
        <is>
          <t>thr_LV</t>
        </is>
      </c>
      <c r="D23" s="13" t="n">
        <v>75000000</v>
      </c>
      <c r="E23" s="14" t="inlineStr">
        <is>
          <t>Rp   (judul 'low-value' materiality)</t>
        </is>
      </c>
    </row>
    <row r="24">
      <c r="B24" s="5" t="inlineStr">
        <is>
          <t>PV / FV threshold klasifikasi</t>
        </is>
      </c>
      <c r="C24" s="12" t="inlineStr">
        <is>
          <t>thr_PV</t>
        </is>
      </c>
      <c r="D24" s="13" t="n">
        <v>0.9</v>
      </c>
      <c r="E24" s="14" t="inlineStr">
        <is>
          <t>%   (&gt;=90% -&gt; indikator finance lease lessor)</t>
        </is>
      </c>
    </row>
    <row r="25">
      <c r="B25" s="5" t="inlineStr">
        <is>
          <t>Economic life threshold</t>
        </is>
      </c>
      <c r="C25" s="12" t="inlineStr">
        <is>
          <t>thr_LIFE</t>
        </is>
      </c>
      <c r="D25" s="13" t="n">
        <v>0.75</v>
      </c>
      <c r="E25" s="14" t="inlineStr">
        <is>
          <t>%   (&gt;=75% umur -&gt; indikator finance lease)</t>
        </is>
      </c>
    </row>
    <row r="27">
      <c r="B27" s="9" t="inlineStr">
        <is>
          <t>PV LEASE LIABILITY (annuity due — bayar di awal periode) — dihitung otomatis</t>
        </is>
      </c>
    </row>
    <row r="28">
      <c r="B28" s="5" t="inlineStr">
        <is>
          <t>PV gedung  = PMT_g * (1-(1+r_g)^-n_g)/r_g * (1+r_g)</t>
        </is>
      </c>
      <c r="D28" s="16">
        <f>PMT_g*(1-(1+r_g)^-n_g)/r_g*(1+r_g)</f>
        <v/>
      </c>
      <c r="E28" s="14" t="inlineStr">
        <is>
          <t>PV = present value pembayaran sewa (kewajiban di hari 1).</t>
        </is>
      </c>
    </row>
    <row r="29">
      <c r="B29" s="5" t="inlineStr">
        <is>
          <t>PV kendaraan  = PMT_k * (1-(1+r_k)^-n_k)/r_k * (1+r_k)</t>
        </is>
      </c>
      <c r="D29" s="16">
        <f>PMT_k*(1-(1+r_k)^-n_k)/r_k*(1+r_k)</f>
        <v/>
      </c>
      <c r="E29" s="14" t="inlineStr">
        <is>
          <t>Annuity due karena sewa dibayar di awal tahun.</t>
        </is>
      </c>
    </row>
  </sheetData>
  <mergeCells count="7">
    <mergeCell ref="B18:E18"/>
    <mergeCell ref="B27:E27"/>
    <mergeCell ref="B12:E12"/>
    <mergeCell ref="B6:E6"/>
    <mergeCell ref="B21:E21"/>
    <mergeCell ref="B3:E3"/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22" customWidth="1" min="3" max="3"/>
    <col width="22" customWidth="1" min="4" max="4"/>
    <col width="40" customWidth="1" min="5" max="5"/>
  </cols>
  <sheetData>
    <row r="2" ht="28" customHeight="1">
      <c r="B2" s="1" t="inlineStr">
        <is>
          <t>TES IDENTIFIKASI SEWA — PSAK 73 PAR.9</t>
        </is>
      </c>
    </row>
    <row r="3">
      <c r="B3" s="2" t="inlineStr">
        <is>
          <t>5 indikator kontrol + 3 exemption. Ubah status di kolom biru (Gedung / Kendaraan) -&gt; hasil otomatis.</t>
        </is>
      </c>
    </row>
    <row r="5" ht="22" customHeight="1">
      <c r="B5" s="9" t="inlineStr">
        <is>
          <t>Indikator / Exemption</t>
        </is>
      </c>
      <c r="C5" s="9" t="inlineStr">
        <is>
          <t>Gedung</t>
        </is>
      </c>
      <c r="D5" s="9" t="inlineStr">
        <is>
          <t>Kendaraan</t>
        </is>
      </c>
      <c r="E5" s="9" t="inlineStr">
        <is>
          <t>Catatan</t>
        </is>
      </c>
    </row>
    <row r="6">
      <c r="B6" s="17" t="inlineStr">
        <is>
          <t>A. UJI KONTROL (5 indikator par.9, cukup 1 terpenuhi)</t>
        </is>
      </c>
    </row>
    <row r="7">
      <c r="B7" s="5" t="inlineStr">
        <is>
          <t>(a) Lessee berhak atas substansi manfaat ekonomis</t>
        </is>
      </c>
      <c r="C7" s="18" t="inlineStr">
        <is>
          <t>YA</t>
        </is>
      </c>
      <c r="D7" s="18" t="inlineStr">
        <is>
          <t>YA</t>
        </is>
      </c>
      <c r="E7" s="14" t="inlineStr">
        <is>
          <t>YA/TIDAK. Cukup SATU terpenuhi -&gt; sewa (par.9).</t>
        </is>
      </c>
    </row>
    <row r="8">
      <c r="B8" s="5" t="inlineStr">
        <is>
          <t>(b) Lessee mengarahkan penggunaan &amp; mendapat output</t>
        </is>
      </c>
      <c r="C8" s="18" t="inlineStr">
        <is>
          <t>YA</t>
        </is>
      </c>
      <c r="D8" s="18" t="inlineStr">
        <is>
          <t>YA</t>
        </is>
      </c>
      <c r="E8" s="14" t="inlineStr">
        <is>
          <t>YA/TIDAK. Cukup SATU terpenuhi -&gt; sewa (par.9).</t>
        </is>
      </c>
    </row>
    <row r="9">
      <c r="B9" s="5" t="inlineStr">
        <is>
          <t>(c) Asset tidak punya substitusi ekonomis oleh lessor</t>
        </is>
      </c>
      <c r="C9" s="18" t="inlineStr">
        <is>
          <t>YA</t>
        </is>
      </c>
      <c r="D9" s="18" t="inlineStr">
        <is>
          <t>YA</t>
        </is>
      </c>
      <c r="E9" s="14" t="inlineStr">
        <is>
          <t>YA/TIDAK. Cukup SATU terpenuhi -&gt; sewa (par.9).</t>
        </is>
      </c>
    </row>
    <row r="10">
      <c r="B10" s="5" t="inlineStr">
        <is>
          <t>(d) Lessee punya hak kepemilikan di akhir sewa</t>
        </is>
      </c>
      <c r="C10" s="18" t="inlineStr">
        <is>
          <t>TIDAK</t>
        </is>
      </c>
      <c r="D10" s="18" t="inlineStr">
        <is>
          <t>TIDAK</t>
        </is>
      </c>
      <c r="E10" s="14" t="inlineStr">
        <is>
          <t>YA/TIDAK. Cukup SATU terpenuhi -&gt; sewa (par.9).</t>
        </is>
      </c>
    </row>
    <row r="11">
      <c r="B11" s="5" t="inlineStr">
        <is>
          <t>(e) Harga beli di bawah fair value saat opsi eksekusi</t>
        </is>
      </c>
      <c r="C11" s="18" t="inlineStr">
        <is>
          <t>TIDAK</t>
        </is>
      </c>
      <c r="D11" s="18" t="inlineStr">
        <is>
          <t>TIDAK</t>
        </is>
      </c>
      <c r="E11" s="14" t="inlineStr">
        <is>
          <t>YA/TIDAK. Cukup SATU terpenuhi -&gt; sewa (par.9).</t>
        </is>
      </c>
    </row>
    <row r="12">
      <c r="B12" s="4" t="inlineStr">
        <is>
          <t>Jumlah indikator terpenuhi (min 1)</t>
        </is>
      </c>
      <c r="C12" s="19">
        <f>COUNTIF(C7:C11,"YA")</f>
        <v/>
      </c>
      <c r="D12" s="19">
        <f>COUNTIF(D7:D11,"YA")</f>
        <v/>
      </c>
      <c r="E12" s="14" t="inlineStr">
        <is>
          <t>Count 'YA' di kolom indikator.</t>
        </is>
      </c>
    </row>
    <row r="13">
      <c r="B13" s="4" t="inlineStr">
        <is>
          <t>Status uji kontrol</t>
        </is>
      </c>
      <c r="C13" s="19">
        <f>IF(C12&gt;=1,"SEWA (in-scope)","BUKAN SEWA")</f>
        <v/>
      </c>
      <c r="D13" s="19">
        <f>IF(D12&gt;=1,"SEWA (in-scope)","BUKAN SEWA")</f>
        <v/>
      </c>
      <c r="E13" s="14" t="inlineStr">
        <is>
          <t>Bila BUKAN SEWA -&gt; PSAK 72 atau PSAK 16.</t>
        </is>
      </c>
    </row>
    <row r="15">
      <c r="B15" s="17" t="inlineStr">
        <is>
          <t>B. EXEMPTION (par.8-9, 3 opsi — pilih jika berlaku)</t>
        </is>
      </c>
    </row>
    <row r="16">
      <c r="B16" s="5" t="inlineStr">
        <is>
          <t>Exempt: Short-term (&lt;=12 bln, no purchase option)</t>
        </is>
      </c>
      <c r="C16" s="18" t="inlineStr">
        <is>
          <t>TIDAK</t>
        </is>
      </c>
      <c r="D16" s="18" t="inlineStr">
        <is>
          <t>TIDAK</t>
        </is>
      </c>
      <c r="E16" s="14" t="inlineStr">
        <is>
          <t>Gedung 60 bln, kendaraan 36 bln -&gt; tidak exempt.</t>
        </is>
      </c>
    </row>
    <row r="17">
      <c r="B17" s="5" t="inlineStr">
        <is>
          <t>Exempt: Low-value asset (&lt;= threshold)</t>
        </is>
      </c>
      <c r="C17" s="18" t="inlineStr">
        <is>
          <t>TIDAK</t>
        </is>
      </c>
      <c r="D17" s="18" t="inlineStr">
        <is>
          <t>TIDAK</t>
        </is>
      </c>
      <c r="E17" s="14" t="inlineStr">
        <is>
          <t>Nilai fair value aset di atas threshold low-value.</t>
        </is>
      </c>
    </row>
    <row r="18">
      <c r="B18" s="5" t="inlineStr">
        <is>
          <t>Exempt: Opsi beli (asset khusus, lessor punya substansi manfaat)</t>
        </is>
      </c>
      <c r="C18" s="18" t="inlineStr">
        <is>
          <t>TIDAK</t>
        </is>
      </c>
      <c r="D18" s="18" t="inlineStr">
        <is>
          <t>TIDAK</t>
        </is>
      </c>
      <c r="E18" s="14" t="inlineStr">
        <is>
          <t>Tidak ada opsi beli di kontrak.</t>
        </is>
      </c>
    </row>
    <row r="19">
      <c r="B19" s="4" t="inlineStr">
        <is>
          <t>Jumlah exemption terpenuhi</t>
        </is>
      </c>
      <c r="C19" s="19">
        <f>COUNTIF(C16:C18,"YA")</f>
        <v/>
      </c>
      <c r="D19" s="19">
        <f>COUNTIF(D16:D18,"YA")</f>
        <v/>
      </c>
      <c r="E19" s="14" t="inlineStr">
        <is>
          <t>Bila &gt;=1 -&gt; lessee boleh pilih recognize as expense (no ROU).</t>
        </is>
      </c>
    </row>
    <row r="20">
      <c r="B20" s="4" t="inlineStr">
        <is>
          <t>Status exemption</t>
        </is>
      </c>
      <c r="C20" s="19">
        <f>IF(C19&gt;=1,"EXEMPT","-")</f>
        <v/>
      </c>
      <c r="D20" s="19">
        <f>IF(D19&gt;=1,"EXEMPT","-")</f>
        <v/>
      </c>
      <c r="E20" s="14" t="inlineStr">
        <is>
          <t>EXEMPT -&gt; bebas dari model ROU.</t>
        </is>
      </c>
    </row>
    <row r="21">
      <c r="B21" s="9" t="inlineStr">
        <is>
          <t>KEPUTUSAN AKHIR — PENGENALAN AKUNTANSI</t>
        </is>
      </c>
    </row>
    <row r="22">
      <c r="B22" s="20" t="inlineStr">
        <is>
          <t>Status akhir (Gedung)</t>
        </is>
      </c>
      <c r="C22" s="21">
        <f>IF(C20="EXEMPT","EXEMPT (expense langsung)",IF(C13="SEWA (in-scope)","RECOGNIZE ROU + Liability","PSAK 72/16"))</f>
        <v/>
      </c>
      <c r="D22" s="22" t="n"/>
      <c r="E22" s="14" t="inlineStr">
        <is>
          <t>RECOGNIZE -&gt; lanjut ke sheet 3/4.</t>
        </is>
      </c>
    </row>
    <row r="23">
      <c r="B23" s="20" t="inlineStr">
        <is>
          <t>Status akhir (Kendaraan)</t>
        </is>
      </c>
      <c r="C23" s="21">
        <f>IF(D20="EXEMPT","EXEMPT (expense langsung)",IF(D13="SEWA (in-scope)","RECOGNIZE ROU + Liability","PSAK 72/16"))</f>
        <v/>
      </c>
      <c r="D23" s="22" t="n"/>
      <c r="E23" s="14" t="inlineStr">
        <is>
          <t>Default: keduanya RECOGNIZE ROU + Liability.</t>
        </is>
      </c>
    </row>
  </sheetData>
  <mergeCells count="7">
    <mergeCell ref="B21:E21"/>
    <mergeCell ref="B3:E3"/>
    <mergeCell ref="B2:E2"/>
    <mergeCell ref="C22:D22"/>
    <mergeCell ref="C23:D23"/>
    <mergeCell ref="C15:E15"/>
    <mergeCell ref="C6:E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J5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2" ht="28" customHeight="1">
      <c r="B2" s="1" t="inlineStr">
        <is>
          <t>LESSEE — GEDUNG KANTOR 5 TAHUN</t>
        </is>
      </c>
    </row>
    <row r="3">
      <c r="B3" s="2" t="inlineStr">
        <is>
          <t>Annuity due · PV otomatis dari sheet 1_INPUT · ROU asset = PV, depresiasi straight-line n thn.</t>
        </is>
      </c>
    </row>
    <row r="5">
      <c r="B5" s="9" t="inlineStr">
        <is>
          <t>1. PENGUKURAN AWAL — LEASE LIABILITY &amp; ROU ASSET</t>
        </is>
      </c>
    </row>
    <row r="6">
      <c r="B6" s="5" t="inlineStr">
        <is>
          <t>Pembayaran sewa tahunan</t>
        </is>
      </c>
      <c r="C6" s="22" t="n"/>
      <c r="D6" s="23">
        <f>PMT_g</f>
        <v/>
      </c>
      <c r="E6" s="14" t="inlineStr">
        <is>
          <t>PMT dari input.</t>
        </is>
      </c>
      <c r="F6" s="24" t="n"/>
      <c r="G6" s="24" t="n"/>
      <c r="H6" s="24" t="n"/>
      <c r="I6" s="24" t="n"/>
      <c r="J6" s="22" t="n"/>
    </row>
    <row r="7">
      <c r="B7" s="5" t="inlineStr">
        <is>
          <t>Incremental borrowing rate</t>
        </is>
      </c>
      <c r="C7" s="22" t="n"/>
      <c r="D7" s="25">
        <f>r_g</f>
        <v/>
      </c>
      <c r="E7" s="14" t="inlineStr">
        <is>
          <t>IBR lessee, par.27.</t>
        </is>
      </c>
      <c r="F7" s="24" t="n"/>
      <c r="G7" s="24" t="n"/>
      <c r="H7" s="24" t="n"/>
      <c r="I7" s="24" t="n"/>
      <c r="J7" s="22" t="n"/>
    </row>
    <row r="8">
      <c r="B8" s="5" t="inlineStr">
        <is>
          <t>Jangka waktu (tahun)</t>
        </is>
      </c>
      <c r="C8" s="22" t="n"/>
      <c r="D8" s="26">
        <f>n_g</f>
        <v/>
      </c>
      <c r="E8" s="14" t="inlineStr">
        <is>
          <t>Tenor sewa non-cancellable.</t>
        </is>
      </c>
      <c r="F8" s="24" t="n"/>
      <c r="G8" s="24" t="n"/>
      <c r="H8" s="24" t="n"/>
      <c r="I8" s="24" t="n"/>
      <c r="J8" s="22" t="n"/>
    </row>
    <row r="9">
      <c r="B9" s="4" t="inlineStr">
        <is>
          <t>PV lease liability (annuity due)</t>
        </is>
      </c>
      <c r="C9" s="22" t="n"/>
      <c r="D9" s="16">
        <f>PMT_g*(1-(1+r_g)^-n_g)/r_g*(1+r_g)</f>
        <v/>
      </c>
      <c r="E9" s="14" t="inlineStr">
        <is>
          <t>'= PMT x annuity-due factor. Hari 1: Dr ROU, Cr Lease Liability.</t>
        </is>
      </c>
      <c r="F9" s="24" t="n"/>
      <c r="G9" s="24" t="n"/>
      <c r="H9" s="24" t="n"/>
      <c r="I9" s="24" t="n"/>
      <c r="J9" s="22" t="n"/>
    </row>
    <row r="10">
      <c r="B10" s="4" t="inlineStr">
        <is>
          <t>ROU asset (pengukuran awal)</t>
        </is>
      </c>
      <c r="C10" s="22" t="n"/>
      <c r="D10" s="16">
        <f>$D$9</f>
        <v/>
      </c>
      <c r="E10" s="14" t="inlineStr">
        <is>
          <t>ROU awal = PV liability (PSAK 73 par.24).</t>
        </is>
      </c>
      <c r="F10" s="24" t="n"/>
      <c r="G10" s="24" t="n"/>
      <c r="H10" s="24" t="n"/>
      <c r="I10" s="24" t="n"/>
      <c r="J10" s="22" t="n"/>
    </row>
    <row r="11">
      <c r="B11" s="5" t="inlineStr">
        <is>
          <t>Total pembayaran sewa (nominal)</t>
        </is>
      </c>
      <c r="C11" s="22" t="n"/>
      <c r="D11" s="23">
        <f>PMT_g*n_g</f>
        <v/>
      </c>
      <c r="E11" s="14" t="inlineStr">
        <is>
          <t>'= PMT x n. Selisih dgn PV = bunga total.</t>
        </is>
      </c>
      <c r="F11" s="24" t="n"/>
      <c r="G11" s="24" t="n"/>
      <c r="H11" s="24" t="n"/>
      <c r="I11" s="24" t="n"/>
      <c r="J11" s="22" t="n"/>
    </row>
    <row r="12">
      <c r="B12" s="4" t="inlineStr">
        <is>
          <t>Bunga total sepanjang sewa</t>
        </is>
      </c>
      <c r="C12" s="22" t="n"/>
      <c r="D12" s="23">
        <f>PMT_g*n_g-$D$9</f>
        <v/>
      </c>
      <c r="E12" s="14" t="inlineStr">
        <is>
          <t>'= nominal - PV.</t>
        </is>
      </c>
      <c r="F12" s="24" t="n"/>
      <c r="G12" s="24" t="n"/>
      <c r="H12" s="24" t="n"/>
      <c r="I12" s="24" t="n"/>
      <c r="J12" s="22" t="n"/>
    </row>
    <row r="14">
      <c r="B14" s="9" t="inlineStr">
        <is>
          <t>2. AMORTISASI LEASE LIABILITY (bunga efektif) &amp; DEPRESIASI ROU</t>
        </is>
      </c>
    </row>
    <row r="15" ht="22" customHeight="1">
      <c r="B15" s="9" t="inlineStr">
        <is>
          <t>Thn</t>
        </is>
      </c>
      <c r="C15" s="9" t="inlineStr">
        <is>
          <t>Liab Awal</t>
        </is>
      </c>
      <c r="D15" s="9" t="inlineStr">
        <is>
          <t>Pembayaran</t>
        </is>
      </c>
      <c r="E15" s="9" t="inlineStr">
        <is>
          <t>Bunga (EIR)</t>
        </is>
      </c>
      <c r="F15" s="9" t="inlineStr">
        <is>
          <t>Pokok</t>
        </is>
      </c>
      <c r="G15" s="9" t="inlineStr">
        <is>
          <t>Liab Akhir</t>
        </is>
      </c>
      <c r="H15" s="9" t="inlineStr">
        <is>
          <t>ROU Awal</t>
        </is>
      </c>
      <c r="I15" s="9" t="inlineStr">
        <is>
          <t>Depresiasi</t>
        </is>
      </c>
      <c r="J15" s="9" t="inlineStr">
        <is>
          <t>ROU Akhir</t>
        </is>
      </c>
    </row>
    <row r="16">
      <c r="B16" s="19">
        <f>IF(1&gt;n_g,"",1)</f>
        <v/>
      </c>
      <c r="C16" s="23">
        <f>IF(1&gt;n_g,0,$D$9)</f>
        <v/>
      </c>
      <c r="D16" s="27">
        <f>IF(1&gt;n_g,0,PMT_g)</f>
        <v/>
      </c>
      <c r="E16" s="23">
        <f>IF(1&gt;n_g,0,MAX((C16-D16)*r_g,0))</f>
        <v/>
      </c>
      <c r="F16" s="23">
        <f>IF(1&gt;n_g,0,D16-E16)</f>
        <v/>
      </c>
      <c r="G16" s="23">
        <f>IF(1&gt;n_g,0,C16-F16)</f>
        <v/>
      </c>
      <c r="H16" s="23">
        <f>IF(1&gt;n_g,0,$D$10)</f>
        <v/>
      </c>
      <c r="I16" s="23">
        <f>IF(1&gt;n_g,0,$D$10/n_g)</f>
        <v/>
      </c>
      <c r="J16" s="23">
        <f>IF(1&gt;n_g,0,H16-I16)</f>
        <v/>
      </c>
    </row>
    <row r="17">
      <c r="B17" s="19">
        <f>IF(2&gt;n_g,"",2)</f>
        <v/>
      </c>
      <c r="C17" s="23">
        <f>IF(2&gt;n_g,0,H16)</f>
        <v/>
      </c>
      <c r="D17" s="27">
        <f>IF(2&gt;n_g,0,PMT_g)</f>
        <v/>
      </c>
      <c r="E17" s="23">
        <f>IF(2&gt;n_g,0,MAX((C17-D17)*r_g,0))</f>
        <v/>
      </c>
      <c r="F17" s="23">
        <f>IF(2&gt;n_g,0,D17-E17)</f>
        <v/>
      </c>
      <c r="G17" s="23">
        <f>IF(2&gt;n_g,0,C17-F17)</f>
        <v/>
      </c>
      <c r="H17" s="23">
        <f>IF(2&gt;n_g,0,J16)</f>
        <v/>
      </c>
      <c r="I17" s="23">
        <f>IF(2&gt;n_g,0,$D$10/n_g)</f>
        <v/>
      </c>
      <c r="J17" s="23">
        <f>IF(2&gt;n_g,0,H17-I17)</f>
        <v/>
      </c>
    </row>
    <row r="18">
      <c r="B18" s="19">
        <f>IF(3&gt;n_g,"",3)</f>
        <v/>
      </c>
      <c r="C18" s="23">
        <f>IF(3&gt;n_g,0,H17)</f>
        <v/>
      </c>
      <c r="D18" s="27">
        <f>IF(3&gt;n_g,0,PMT_g)</f>
        <v/>
      </c>
      <c r="E18" s="23">
        <f>IF(3&gt;n_g,0,MAX((C18-D18)*r_g,0))</f>
        <v/>
      </c>
      <c r="F18" s="23">
        <f>IF(3&gt;n_g,0,D18-E18)</f>
        <v/>
      </c>
      <c r="G18" s="23">
        <f>IF(3&gt;n_g,0,C18-F18)</f>
        <v/>
      </c>
      <c r="H18" s="23">
        <f>IF(3&gt;n_g,0,J17)</f>
        <v/>
      </c>
      <c r="I18" s="23">
        <f>IF(3&gt;n_g,0,$D$10/n_g)</f>
        <v/>
      </c>
      <c r="J18" s="23">
        <f>IF(3&gt;n_g,0,H18-I18)</f>
        <v/>
      </c>
    </row>
    <row r="19">
      <c r="B19" s="19">
        <f>IF(4&gt;n_g,"",4)</f>
        <v/>
      </c>
      <c r="C19" s="23">
        <f>IF(4&gt;n_g,0,H18)</f>
        <v/>
      </c>
      <c r="D19" s="27">
        <f>IF(4&gt;n_g,0,PMT_g)</f>
        <v/>
      </c>
      <c r="E19" s="23">
        <f>IF(4&gt;n_g,0,MAX((C19-D19)*r_g,0))</f>
        <v/>
      </c>
      <c r="F19" s="23">
        <f>IF(4&gt;n_g,0,D19-E19)</f>
        <v/>
      </c>
      <c r="G19" s="23">
        <f>IF(4&gt;n_g,0,C19-F19)</f>
        <v/>
      </c>
      <c r="H19" s="23">
        <f>IF(4&gt;n_g,0,J18)</f>
        <v/>
      </c>
      <c r="I19" s="23">
        <f>IF(4&gt;n_g,0,$D$10/n_g)</f>
        <v/>
      </c>
      <c r="J19" s="23">
        <f>IF(4&gt;n_g,0,H19-I19)</f>
        <v/>
      </c>
    </row>
    <row r="20">
      <c r="B20" s="19">
        <f>IF(5&gt;n_g,"",5)</f>
        <v/>
      </c>
      <c r="C20" s="23">
        <f>IF(5&gt;n_g,0,H19)</f>
        <v/>
      </c>
      <c r="D20" s="27">
        <f>IF(5&gt;n_g,0,PMT_g)</f>
        <v/>
      </c>
      <c r="E20" s="23">
        <f>IF(5&gt;n_g,0,MAX((C20-D20)*r_g,0))</f>
        <v/>
      </c>
      <c r="F20" s="23">
        <f>IF(5&gt;n_g,0,D20-E20)</f>
        <v/>
      </c>
      <c r="G20" s="23">
        <f>IF(5&gt;n_g,0,C20-F20)</f>
        <v/>
      </c>
      <c r="H20" s="23">
        <f>IF(5&gt;n_g,0,J19)</f>
        <v/>
      </c>
      <c r="I20" s="23">
        <f>IF(5&gt;n_g,0,$D$10/n_g)</f>
        <v/>
      </c>
      <c r="J20" s="23">
        <f>IF(5&gt;n_g,0,H20-I20)</f>
        <v/>
      </c>
    </row>
    <row r="21">
      <c r="B21" s="19">
        <f>IF(6&gt;n_g,"",6)</f>
        <v/>
      </c>
      <c r="C21" s="23">
        <f>IF(6&gt;n_g,0,H20)</f>
        <v/>
      </c>
      <c r="D21" s="27">
        <f>IF(6&gt;n_g,0,PMT_g)</f>
        <v/>
      </c>
      <c r="E21" s="23">
        <f>IF(6&gt;n_g,0,MAX((C21-D21)*r_g,0))</f>
        <v/>
      </c>
      <c r="F21" s="23">
        <f>IF(6&gt;n_g,0,D21-E21)</f>
        <v/>
      </c>
      <c r="G21" s="23">
        <f>IF(6&gt;n_g,0,C21-F21)</f>
        <v/>
      </c>
      <c r="H21" s="23">
        <f>IF(6&gt;n_g,0,J20)</f>
        <v/>
      </c>
      <c r="I21" s="23">
        <f>IF(6&gt;n_g,0,$D$10/n_g)</f>
        <v/>
      </c>
      <c r="J21" s="23">
        <f>IF(6&gt;n_g,0,H21-I21)</f>
        <v/>
      </c>
    </row>
    <row r="22">
      <c r="B22" s="19">
        <f>IF(7&gt;n_g,"",7)</f>
        <v/>
      </c>
      <c r="C22" s="23">
        <f>IF(7&gt;n_g,0,H21)</f>
        <v/>
      </c>
      <c r="D22" s="27">
        <f>IF(7&gt;n_g,0,PMT_g)</f>
        <v/>
      </c>
      <c r="E22" s="23">
        <f>IF(7&gt;n_g,0,MAX((C22-D22)*r_g,0))</f>
        <v/>
      </c>
      <c r="F22" s="23">
        <f>IF(7&gt;n_g,0,D22-E22)</f>
        <v/>
      </c>
      <c r="G22" s="23">
        <f>IF(7&gt;n_g,0,C22-F22)</f>
        <v/>
      </c>
      <c r="H22" s="23">
        <f>IF(7&gt;n_g,0,J21)</f>
        <v/>
      </c>
      <c r="I22" s="23">
        <f>IF(7&gt;n_g,0,$D$10/n_g)</f>
        <v/>
      </c>
      <c r="J22" s="23">
        <f>IF(7&gt;n_g,0,H22-I22)</f>
        <v/>
      </c>
    </row>
    <row r="23">
      <c r="B23" s="19">
        <f>IF(8&gt;n_g,"",8)</f>
        <v/>
      </c>
      <c r="C23" s="23">
        <f>IF(8&gt;n_g,0,H22)</f>
        <v/>
      </c>
      <c r="D23" s="27">
        <f>IF(8&gt;n_g,0,PMT_g)</f>
        <v/>
      </c>
      <c r="E23" s="23">
        <f>IF(8&gt;n_g,0,MAX((C23-D23)*r_g,0))</f>
        <v/>
      </c>
      <c r="F23" s="23">
        <f>IF(8&gt;n_g,0,D23-E23)</f>
        <v/>
      </c>
      <c r="G23" s="23">
        <f>IF(8&gt;n_g,0,C23-F23)</f>
        <v/>
      </c>
      <c r="H23" s="23">
        <f>IF(8&gt;n_g,0,J22)</f>
        <v/>
      </c>
      <c r="I23" s="23">
        <f>IF(8&gt;n_g,0,$D$10/n_g)</f>
        <v/>
      </c>
      <c r="J23" s="23">
        <f>IF(8&gt;n_g,0,H23-I23)</f>
        <v/>
      </c>
    </row>
    <row r="24">
      <c r="B24" s="19">
        <f>IF(9&gt;n_g,"",9)</f>
        <v/>
      </c>
      <c r="C24" s="23">
        <f>IF(9&gt;n_g,0,H23)</f>
        <v/>
      </c>
      <c r="D24" s="27">
        <f>IF(9&gt;n_g,0,PMT_g)</f>
        <v/>
      </c>
      <c r="E24" s="23">
        <f>IF(9&gt;n_g,0,MAX((C24-D24)*r_g,0))</f>
        <v/>
      </c>
      <c r="F24" s="23">
        <f>IF(9&gt;n_g,0,D24-E24)</f>
        <v/>
      </c>
      <c r="G24" s="23">
        <f>IF(9&gt;n_g,0,C24-F24)</f>
        <v/>
      </c>
      <c r="H24" s="23">
        <f>IF(9&gt;n_g,0,J23)</f>
        <v/>
      </c>
      <c r="I24" s="23">
        <f>IF(9&gt;n_g,0,$D$10/n_g)</f>
        <v/>
      </c>
      <c r="J24" s="23">
        <f>IF(9&gt;n_g,0,H24-I24)</f>
        <v/>
      </c>
    </row>
    <row r="25">
      <c r="B25" s="19">
        <f>IF(10&gt;n_g,"",10)</f>
        <v/>
      </c>
      <c r="C25" s="23">
        <f>IF(10&gt;n_g,0,H24)</f>
        <v/>
      </c>
      <c r="D25" s="27">
        <f>IF(10&gt;n_g,0,PMT_g)</f>
        <v/>
      </c>
      <c r="E25" s="23">
        <f>IF(10&gt;n_g,0,MAX((C25-D25)*r_g,0))</f>
        <v/>
      </c>
      <c r="F25" s="23">
        <f>IF(10&gt;n_g,0,D25-E25)</f>
        <v/>
      </c>
      <c r="G25" s="23">
        <f>IF(10&gt;n_g,0,C25-F25)</f>
        <v/>
      </c>
      <c r="H25" s="23">
        <f>IF(10&gt;n_g,0,J24)</f>
        <v/>
      </c>
      <c r="I25" s="23">
        <f>IF(10&gt;n_g,0,$D$10/n_g)</f>
        <v/>
      </c>
      <c r="J25" s="23">
        <f>IF(10&gt;n_g,0,H25-I25)</f>
        <v/>
      </c>
    </row>
    <row r="26">
      <c r="B26" s="21" t="inlineStr">
        <is>
          <t>TOTAL</t>
        </is>
      </c>
      <c r="C26" s="28" t="inlineStr"/>
      <c r="D26" s="16">
        <f>SUM(D16:D25)</f>
        <v/>
      </c>
      <c r="E26" s="16">
        <f>SUM(E16:E25)</f>
        <v/>
      </c>
      <c r="F26" s="16">
        <f>SUM(F16:F25)</f>
        <v/>
      </c>
      <c r="G26" s="28" t="inlineStr"/>
      <c r="H26" s="28" t="inlineStr"/>
      <c r="I26" s="16">
        <f>SUM(I16:I25)</f>
        <v/>
      </c>
      <c r="J26" s="28" t="inlineStr"/>
    </row>
    <row r="28">
      <c r="B28" s="9" t="inlineStr">
        <is>
          <t>3. DAMPAK LABA RUGI PER TAHUN (LESEE)</t>
        </is>
      </c>
    </row>
    <row r="29" ht="22" customHeight="1">
      <c r="B29" s="9" t="inlineStr">
        <is>
          <t>Thn</t>
        </is>
      </c>
      <c r="C29" s="9" t="inlineStr">
        <is>
          <t>Beban Bunga</t>
        </is>
      </c>
      <c r="D29" s="9" t="inlineStr">
        <is>
          <t>Beban Depresiasi</t>
        </is>
      </c>
      <c r="E29" s="9" t="inlineStr">
        <is>
          <t>Total Beban Sewa</t>
        </is>
      </c>
      <c r="F29" s="9" t="inlineStr">
        <is>
          <t>vs Sewa Tunai</t>
        </is>
      </c>
    </row>
    <row r="30">
      <c r="B30" s="19">
        <f>IF(1&gt;n_g,"",1)</f>
        <v/>
      </c>
      <c r="C30" s="23">
        <f>IF(1&gt;n_g,0,E16)</f>
        <v/>
      </c>
      <c r="D30" s="23">
        <f>IF(1&gt;n_g,0,I16)</f>
        <v/>
      </c>
      <c r="E30" s="16">
        <f>IF(1&gt;n_g,0,C30+D30)</f>
        <v/>
      </c>
      <c r="F30" s="23">
        <f>IF(1&gt;n_g,0,E30-D16)</f>
        <v/>
      </c>
    </row>
    <row r="31">
      <c r="B31" s="19">
        <f>IF(2&gt;n_g,"",2)</f>
        <v/>
      </c>
      <c r="C31" s="23">
        <f>IF(2&gt;n_g,0,E17)</f>
        <v/>
      </c>
      <c r="D31" s="23">
        <f>IF(2&gt;n_g,0,I17)</f>
        <v/>
      </c>
      <c r="E31" s="16">
        <f>IF(2&gt;n_g,0,C31+D31)</f>
        <v/>
      </c>
      <c r="F31" s="23">
        <f>IF(2&gt;n_g,0,E31-D17)</f>
        <v/>
      </c>
    </row>
    <row r="32">
      <c r="B32" s="19">
        <f>IF(3&gt;n_g,"",3)</f>
        <v/>
      </c>
      <c r="C32" s="23">
        <f>IF(3&gt;n_g,0,E18)</f>
        <v/>
      </c>
      <c r="D32" s="23">
        <f>IF(3&gt;n_g,0,I18)</f>
        <v/>
      </c>
      <c r="E32" s="16">
        <f>IF(3&gt;n_g,0,C32+D32)</f>
        <v/>
      </c>
      <c r="F32" s="23">
        <f>IF(3&gt;n_g,0,E32-D18)</f>
        <v/>
      </c>
    </row>
    <row r="33">
      <c r="B33" s="19">
        <f>IF(4&gt;n_g,"",4)</f>
        <v/>
      </c>
      <c r="C33" s="23">
        <f>IF(4&gt;n_g,0,E19)</f>
        <v/>
      </c>
      <c r="D33" s="23">
        <f>IF(4&gt;n_g,0,I19)</f>
        <v/>
      </c>
      <c r="E33" s="16">
        <f>IF(4&gt;n_g,0,C33+D33)</f>
        <v/>
      </c>
      <c r="F33" s="23">
        <f>IF(4&gt;n_g,0,E33-D19)</f>
        <v/>
      </c>
    </row>
    <row r="34">
      <c r="B34" s="19">
        <f>IF(5&gt;n_g,"",5)</f>
        <v/>
      </c>
      <c r="C34" s="23">
        <f>IF(5&gt;n_g,0,E20)</f>
        <v/>
      </c>
      <c r="D34" s="23">
        <f>IF(5&gt;n_g,0,I20)</f>
        <v/>
      </c>
      <c r="E34" s="16">
        <f>IF(5&gt;n_g,0,C34+D34)</f>
        <v/>
      </c>
      <c r="F34" s="23">
        <f>IF(5&gt;n_g,0,E34-D20)</f>
        <v/>
      </c>
    </row>
    <row r="35">
      <c r="B35" s="19">
        <f>IF(6&gt;n_g,"",6)</f>
        <v/>
      </c>
      <c r="C35" s="23">
        <f>IF(6&gt;n_g,0,E21)</f>
        <v/>
      </c>
      <c r="D35" s="23">
        <f>IF(6&gt;n_g,0,I21)</f>
        <v/>
      </c>
      <c r="E35" s="16">
        <f>IF(6&gt;n_g,0,C35+D35)</f>
        <v/>
      </c>
      <c r="F35" s="23">
        <f>IF(6&gt;n_g,0,E35-D21)</f>
        <v/>
      </c>
    </row>
    <row r="36">
      <c r="B36" s="19">
        <f>IF(7&gt;n_g,"",7)</f>
        <v/>
      </c>
      <c r="C36" s="23">
        <f>IF(7&gt;n_g,0,E22)</f>
        <v/>
      </c>
      <c r="D36" s="23">
        <f>IF(7&gt;n_g,0,I22)</f>
        <v/>
      </c>
      <c r="E36" s="16">
        <f>IF(7&gt;n_g,0,C36+D36)</f>
        <v/>
      </c>
      <c r="F36" s="23">
        <f>IF(7&gt;n_g,0,E36-D22)</f>
        <v/>
      </c>
    </row>
    <row r="37">
      <c r="B37" s="19">
        <f>IF(8&gt;n_g,"",8)</f>
        <v/>
      </c>
      <c r="C37" s="23">
        <f>IF(8&gt;n_g,0,E23)</f>
        <v/>
      </c>
      <c r="D37" s="23">
        <f>IF(8&gt;n_g,0,I23)</f>
        <v/>
      </c>
      <c r="E37" s="16">
        <f>IF(8&gt;n_g,0,C37+D37)</f>
        <v/>
      </c>
      <c r="F37" s="23">
        <f>IF(8&gt;n_g,0,E37-D23)</f>
        <v/>
      </c>
    </row>
    <row r="38">
      <c r="B38" s="19">
        <f>IF(9&gt;n_g,"",9)</f>
        <v/>
      </c>
      <c r="C38" s="23">
        <f>IF(9&gt;n_g,0,E24)</f>
        <v/>
      </c>
      <c r="D38" s="23">
        <f>IF(9&gt;n_g,0,I24)</f>
        <v/>
      </c>
      <c r="E38" s="16">
        <f>IF(9&gt;n_g,0,C38+D38)</f>
        <v/>
      </c>
      <c r="F38" s="23">
        <f>IF(9&gt;n_g,0,E38-D24)</f>
        <v/>
      </c>
    </row>
    <row r="39">
      <c r="B39" s="19">
        <f>IF(10&gt;n_g,"",10)</f>
        <v/>
      </c>
      <c r="C39" s="23">
        <f>IF(10&gt;n_g,0,E25)</f>
        <v/>
      </c>
      <c r="D39" s="23">
        <f>IF(10&gt;n_g,0,I25)</f>
        <v/>
      </c>
      <c r="E39" s="16">
        <f>IF(10&gt;n_g,0,C39+D39)</f>
        <v/>
      </c>
      <c r="F39" s="23">
        <f>IF(10&gt;n_g,0,E39-D25)</f>
        <v/>
      </c>
    </row>
    <row r="40">
      <c r="B40" s="21" t="inlineStr">
        <is>
          <t>TOTAL</t>
        </is>
      </c>
      <c r="C40" s="16">
        <f>SUM(C30:C39)</f>
        <v/>
      </c>
      <c r="D40" s="16">
        <f>SUM(D30:D39)</f>
        <v/>
      </c>
      <c r="E40" s="16">
        <f>SUM(E30:E39)</f>
        <v/>
      </c>
      <c r="F40" s="16">
        <f>SUM(F30:F39)</f>
        <v/>
      </c>
    </row>
    <row r="42">
      <c r="B42" s="9" t="inlineStr">
        <is>
          <t>4. JURNAL AWAL (HARI 1) &amp; AKHIR TAHUN 1</t>
        </is>
      </c>
    </row>
    <row r="43">
      <c r="B43" s="5" t="inlineStr">
        <is>
          <t>Dr  Right-of-Use Asset</t>
        </is>
      </c>
      <c r="C43" s="24" t="n"/>
      <c r="D43" s="24" t="n"/>
      <c r="E43" s="24" t="n"/>
      <c r="F43" s="24" t="n"/>
      <c r="G43" s="24" t="n"/>
      <c r="H43" s="22" t="n"/>
      <c r="I43" s="16">
        <f>$D$10</f>
        <v/>
      </c>
      <c r="J43" s="29" t="inlineStr"/>
    </row>
    <row r="44">
      <c r="B44" s="5" t="inlineStr">
        <is>
          <t xml:space="preserve">     Cr  Lease Liability</t>
        </is>
      </c>
      <c r="C44" s="24" t="n"/>
      <c r="D44" s="24" t="n"/>
      <c r="E44" s="24" t="n"/>
      <c r="F44" s="24" t="n"/>
      <c r="G44" s="24" t="n"/>
      <c r="H44" s="22" t="n"/>
      <c r="I44" s="16">
        <f>-$D$9</f>
        <v/>
      </c>
      <c r="J44" s="29" t="inlineStr"/>
    </row>
    <row r="45">
      <c r="B45" s="5" t="inlineStr">
        <is>
          <t>(Pengakuan awal sewa PSAK 73)</t>
        </is>
      </c>
      <c r="C45" s="24" t="n"/>
      <c r="D45" s="24" t="n"/>
      <c r="E45" s="24" t="n"/>
      <c r="F45" s="24" t="n"/>
      <c r="G45" s="24" t="n"/>
      <c r="H45" s="22" t="n"/>
      <c r="I45" s="29" t="inlineStr"/>
      <c r="J45" s="29" t="inlineStr"/>
    </row>
    <row r="46">
      <c r="B46" s="5" t="inlineStr"/>
      <c r="C46" s="24" t="n"/>
      <c r="D46" s="24" t="n"/>
      <c r="E46" s="24" t="n"/>
      <c r="F46" s="24" t="n"/>
      <c r="G46" s="24" t="n"/>
      <c r="H46" s="22" t="n"/>
      <c r="I46" s="29" t="inlineStr"/>
      <c r="J46" s="29" t="inlineStr"/>
    </row>
    <row r="47">
      <c r="B47" s="5" t="inlineStr">
        <is>
          <t>Dr  Beban Bunga (Tahun 1)</t>
        </is>
      </c>
      <c r="C47" s="24" t="n"/>
      <c r="D47" s="24" t="n"/>
      <c r="E47" s="24" t="n"/>
      <c r="F47" s="24" t="n"/>
      <c r="G47" s="24" t="n"/>
      <c r="H47" s="22" t="n"/>
      <c r="I47" s="16">
        <f>E16</f>
        <v/>
      </c>
      <c r="J47" s="29" t="inlineStr"/>
    </row>
    <row r="48">
      <c r="B48" s="5" t="inlineStr">
        <is>
          <t>Dr  Lease Liability (pokok)</t>
        </is>
      </c>
      <c r="C48" s="24" t="n"/>
      <c r="D48" s="24" t="n"/>
      <c r="E48" s="24" t="n"/>
      <c r="F48" s="24" t="n"/>
      <c r="G48" s="24" t="n"/>
      <c r="H48" s="22" t="n"/>
      <c r="I48" s="16">
        <f>F16</f>
        <v/>
      </c>
      <c r="J48" s="29" t="inlineStr"/>
    </row>
    <row r="49">
      <c r="B49" s="5" t="inlineStr">
        <is>
          <t xml:space="preserve">     Cr  Kas (pembayaran Tahun 1)</t>
        </is>
      </c>
      <c r="C49" s="24" t="n"/>
      <c r="D49" s="24" t="n"/>
      <c r="E49" s="24" t="n"/>
      <c r="F49" s="24" t="n"/>
      <c r="G49" s="24" t="n"/>
      <c r="H49" s="22" t="n"/>
      <c r="I49" s="16">
        <f>-D16</f>
        <v/>
      </c>
      <c r="J49" s="29" t="inlineStr"/>
    </row>
    <row r="50">
      <c r="B50" s="5" t="inlineStr">
        <is>
          <t>(Pembayaran sewa tahun 1 — annuity due)</t>
        </is>
      </c>
      <c r="C50" s="24" t="n"/>
      <c r="D50" s="24" t="n"/>
      <c r="E50" s="24" t="n"/>
      <c r="F50" s="24" t="n"/>
      <c r="G50" s="24" t="n"/>
      <c r="H50" s="22" t="n"/>
      <c r="I50" s="29" t="inlineStr"/>
      <c r="J50" s="29" t="inlineStr"/>
    </row>
    <row r="51">
      <c r="B51" s="5" t="inlineStr"/>
      <c r="C51" s="24" t="n"/>
      <c r="D51" s="24" t="n"/>
      <c r="E51" s="24" t="n"/>
      <c r="F51" s="24" t="n"/>
      <c r="G51" s="24" t="n"/>
      <c r="H51" s="22" t="n"/>
      <c r="I51" s="29" t="inlineStr"/>
      <c r="J51" s="29" t="inlineStr"/>
    </row>
    <row r="52">
      <c r="B52" s="5" t="inlineStr">
        <is>
          <t>Dr  Beban Depresiasi ROU (Tahun 1)</t>
        </is>
      </c>
      <c r="C52" s="24" t="n"/>
      <c r="D52" s="24" t="n"/>
      <c r="E52" s="24" t="n"/>
      <c r="F52" s="24" t="n"/>
      <c r="G52" s="24" t="n"/>
      <c r="H52" s="22" t="n"/>
      <c r="I52" s="16">
        <f>I16</f>
        <v/>
      </c>
      <c r="J52" s="29" t="inlineStr"/>
    </row>
    <row r="53">
      <c r="B53" s="5" t="inlineStr">
        <is>
          <t xml:space="preserve">     Cr  Akumulasi Depresiasi ROU</t>
        </is>
      </c>
      <c r="C53" s="24" t="n"/>
      <c r="D53" s="24" t="n"/>
      <c r="E53" s="24" t="n"/>
      <c r="F53" s="24" t="n"/>
      <c r="G53" s="24" t="n"/>
      <c r="H53" s="22" t="n"/>
      <c r="I53" s="16">
        <f>-I16</f>
        <v/>
      </c>
      <c r="J53" s="29" t="inlineStr"/>
    </row>
    <row r="54">
      <c r="B54" s="5" t="inlineStr">
        <is>
          <t>(Penyusutan ROU straight-line)</t>
        </is>
      </c>
      <c r="C54" s="24" t="n"/>
      <c r="D54" s="24" t="n"/>
      <c r="E54" s="24" t="n"/>
      <c r="F54" s="24" t="n"/>
      <c r="G54" s="24" t="n"/>
      <c r="H54" s="22" t="n"/>
      <c r="I54" s="29" t="inlineStr"/>
      <c r="J54" s="29" t="inlineStr"/>
    </row>
  </sheetData>
  <mergeCells count="32">
    <mergeCell ref="E10:J10"/>
    <mergeCell ref="B7:C7"/>
    <mergeCell ref="B42:J42"/>
    <mergeCell ref="B49:H49"/>
    <mergeCell ref="B14:J14"/>
    <mergeCell ref="E9:J9"/>
    <mergeCell ref="E6:J6"/>
    <mergeCell ref="B51:H51"/>
    <mergeCell ref="B45:H45"/>
    <mergeCell ref="B12:C12"/>
    <mergeCell ref="E11:J11"/>
    <mergeCell ref="B50:H50"/>
    <mergeCell ref="B11:C11"/>
    <mergeCell ref="B28:J28"/>
    <mergeCell ref="B47:H47"/>
    <mergeCell ref="B54:H54"/>
    <mergeCell ref="B8:C8"/>
    <mergeCell ref="E7:J7"/>
    <mergeCell ref="B46:H46"/>
    <mergeCell ref="B5:J5"/>
    <mergeCell ref="B52:H52"/>
    <mergeCell ref="B43:H43"/>
    <mergeCell ref="B10:C10"/>
    <mergeCell ref="B48:H48"/>
    <mergeCell ref="E12:J12"/>
    <mergeCell ref="B9:C9"/>
    <mergeCell ref="B6:C6"/>
    <mergeCell ref="B3:J3"/>
    <mergeCell ref="B44:H44"/>
    <mergeCell ref="B53:H53"/>
    <mergeCell ref="E8:J8"/>
    <mergeCell ref="B2:J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J5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2" ht="28" customHeight="1">
      <c r="B2" s="1" t="inlineStr">
        <is>
          <t>LESSEE — KENDARAAN 3 TAHUN</t>
        </is>
      </c>
    </row>
    <row r="3">
      <c r="B3" s="2" t="inlineStr">
        <is>
          <t>Annuity due · PV otomatis dari sheet 1_INPUT · ROU asset = PV, depresiasi straight-line n thn.</t>
        </is>
      </c>
    </row>
    <row r="5">
      <c r="B5" s="9" t="inlineStr">
        <is>
          <t>1. PENGUKURAN AWAL — LEASE LIABILITY &amp; ROU ASSET</t>
        </is>
      </c>
    </row>
    <row r="6">
      <c r="B6" s="5" t="inlineStr">
        <is>
          <t>Pembayaran sewa tahunan</t>
        </is>
      </c>
      <c r="C6" s="22" t="n"/>
      <c r="D6" s="23">
        <f>PMT_k</f>
        <v/>
      </c>
      <c r="E6" s="14" t="inlineStr">
        <is>
          <t>PMT dari input.</t>
        </is>
      </c>
      <c r="F6" s="24" t="n"/>
      <c r="G6" s="24" t="n"/>
      <c r="H6" s="24" t="n"/>
      <c r="I6" s="24" t="n"/>
      <c r="J6" s="22" t="n"/>
    </row>
    <row r="7">
      <c r="B7" s="5" t="inlineStr">
        <is>
          <t>Incremental borrowing rate</t>
        </is>
      </c>
      <c r="C7" s="22" t="n"/>
      <c r="D7" s="25">
        <f>r_k</f>
        <v/>
      </c>
      <c r="E7" s="14" t="inlineStr">
        <is>
          <t>IBR lessee, par.27.</t>
        </is>
      </c>
      <c r="F7" s="24" t="n"/>
      <c r="G7" s="24" t="n"/>
      <c r="H7" s="24" t="n"/>
      <c r="I7" s="24" t="n"/>
      <c r="J7" s="22" t="n"/>
    </row>
    <row r="8">
      <c r="B8" s="5" t="inlineStr">
        <is>
          <t>Jangka waktu (tahun)</t>
        </is>
      </c>
      <c r="C8" s="22" t="n"/>
      <c r="D8" s="26">
        <f>n_k</f>
        <v/>
      </c>
      <c r="E8" s="14" t="inlineStr">
        <is>
          <t>Tenor sewa non-cancellable.</t>
        </is>
      </c>
      <c r="F8" s="24" t="n"/>
      <c r="G8" s="24" t="n"/>
      <c r="H8" s="24" t="n"/>
      <c r="I8" s="24" t="n"/>
      <c r="J8" s="22" t="n"/>
    </row>
    <row r="9">
      <c r="B9" s="4" t="inlineStr">
        <is>
          <t>PV lease liability (annuity due)</t>
        </is>
      </c>
      <c r="C9" s="22" t="n"/>
      <c r="D9" s="16">
        <f>PMT_k*(1-(1+r_k)^-n_k)/r_k*(1+r_k)</f>
        <v/>
      </c>
      <c r="E9" s="14" t="inlineStr">
        <is>
          <t>'= PMT x annuity-due factor. Hari 1: Dr ROU, Cr Lease Liability.</t>
        </is>
      </c>
      <c r="F9" s="24" t="n"/>
      <c r="G9" s="24" t="n"/>
      <c r="H9" s="24" t="n"/>
      <c r="I9" s="24" t="n"/>
      <c r="J9" s="22" t="n"/>
    </row>
    <row r="10">
      <c r="B10" s="4" t="inlineStr">
        <is>
          <t>ROU asset (pengukuran awal)</t>
        </is>
      </c>
      <c r="C10" s="22" t="n"/>
      <c r="D10" s="16">
        <f>$D$9</f>
        <v/>
      </c>
      <c r="E10" s="14" t="inlineStr">
        <is>
          <t>ROU awal = PV liability (PSAK 73 par.24).</t>
        </is>
      </c>
      <c r="F10" s="24" t="n"/>
      <c r="G10" s="24" t="n"/>
      <c r="H10" s="24" t="n"/>
      <c r="I10" s="24" t="n"/>
      <c r="J10" s="22" t="n"/>
    </row>
    <row r="11">
      <c r="B11" s="5" t="inlineStr">
        <is>
          <t>Total pembayaran sewa (nominal)</t>
        </is>
      </c>
      <c r="C11" s="22" t="n"/>
      <c r="D11" s="23">
        <f>PMT_k*n_k</f>
        <v/>
      </c>
      <c r="E11" s="14" t="inlineStr">
        <is>
          <t>'= PMT x n. Selisih dgn PV = bunga total.</t>
        </is>
      </c>
      <c r="F11" s="24" t="n"/>
      <c r="G11" s="24" t="n"/>
      <c r="H11" s="24" t="n"/>
      <c r="I11" s="24" t="n"/>
      <c r="J11" s="22" t="n"/>
    </row>
    <row r="12">
      <c r="B12" s="4" t="inlineStr">
        <is>
          <t>Bunga total sepanjang sewa</t>
        </is>
      </c>
      <c r="C12" s="22" t="n"/>
      <c r="D12" s="23">
        <f>PMT_k*n_k-$D$9</f>
        <v/>
      </c>
      <c r="E12" s="14" t="inlineStr">
        <is>
          <t>'= nominal - PV.</t>
        </is>
      </c>
      <c r="F12" s="24" t="n"/>
      <c r="G12" s="24" t="n"/>
      <c r="H12" s="24" t="n"/>
      <c r="I12" s="24" t="n"/>
      <c r="J12" s="22" t="n"/>
    </row>
    <row r="14">
      <c r="B14" s="9" t="inlineStr">
        <is>
          <t>2. AMORTISASI LEASE LIABILITY (bunga efektif) &amp; DEPRESIASI ROU</t>
        </is>
      </c>
    </row>
    <row r="15" ht="22" customHeight="1">
      <c r="B15" s="9" t="inlineStr">
        <is>
          <t>Thn</t>
        </is>
      </c>
      <c r="C15" s="9" t="inlineStr">
        <is>
          <t>Liab Awal</t>
        </is>
      </c>
      <c r="D15" s="9" t="inlineStr">
        <is>
          <t>Pembayaran</t>
        </is>
      </c>
      <c r="E15" s="9" t="inlineStr">
        <is>
          <t>Bunga (EIR)</t>
        </is>
      </c>
      <c r="F15" s="9" t="inlineStr">
        <is>
          <t>Pokok</t>
        </is>
      </c>
      <c r="G15" s="9" t="inlineStr">
        <is>
          <t>Liab Akhir</t>
        </is>
      </c>
      <c r="H15" s="9" t="inlineStr">
        <is>
          <t>ROU Awal</t>
        </is>
      </c>
      <c r="I15" s="9" t="inlineStr">
        <is>
          <t>Depresiasi</t>
        </is>
      </c>
      <c r="J15" s="9" t="inlineStr">
        <is>
          <t>ROU Akhir</t>
        </is>
      </c>
    </row>
    <row r="16">
      <c r="B16" s="19">
        <f>IF(1&gt;n_k,"",1)</f>
        <v/>
      </c>
      <c r="C16" s="23">
        <f>IF(1&gt;n_k,0,$D$9)</f>
        <v/>
      </c>
      <c r="D16" s="27">
        <f>IF(1&gt;n_k,0,PMT_k)</f>
        <v/>
      </c>
      <c r="E16" s="23">
        <f>IF(1&gt;n_k,0,MAX((C16-D16)*r_k,0))</f>
        <v/>
      </c>
      <c r="F16" s="23">
        <f>IF(1&gt;n_k,0,D16-E16)</f>
        <v/>
      </c>
      <c r="G16" s="23">
        <f>IF(1&gt;n_k,0,C16-F16)</f>
        <v/>
      </c>
      <c r="H16" s="23">
        <f>IF(1&gt;n_k,0,$D$10)</f>
        <v/>
      </c>
      <c r="I16" s="23">
        <f>IF(1&gt;n_k,0,$D$10/n_k)</f>
        <v/>
      </c>
      <c r="J16" s="23">
        <f>IF(1&gt;n_k,0,H16-I16)</f>
        <v/>
      </c>
    </row>
    <row r="17">
      <c r="B17" s="19">
        <f>IF(2&gt;n_k,"",2)</f>
        <v/>
      </c>
      <c r="C17" s="23">
        <f>IF(2&gt;n_k,0,H16)</f>
        <v/>
      </c>
      <c r="D17" s="27">
        <f>IF(2&gt;n_k,0,PMT_k)</f>
        <v/>
      </c>
      <c r="E17" s="23">
        <f>IF(2&gt;n_k,0,MAX((C17-D17)*r_k,0))</f>
        <v/>
      </c>
      <c r="F17" s="23">
        <f>IF(2&gt;n_k,0,D17-E17)</f>
        <v/>
      </c>
      <c r="G17" s="23">
        <f>IF(2&gt;n_k,0,C17-F17)</f>
        <v/>
      </c>
      <c r="H17" s="23">
        <f>IF(2&gt;n_k,0,J16)</f>
        <v/>
      </c>
      <c r="I17" s="23">
        <f>IF(2&gt;n_k,0,$D$10/n_k)</f>
        <v/>
      </c>
      <c r="J17" s="23">
        <f>IF(2&gt;n_k,0,H17-I17)</f>
        <v/>
      </c>
    </row>
    <row r="18">
      <c r="B18" s="19">
        <f>IF(3&gt;n_k,"",3)</f>
        <v/>
      </c>
      <c r="C18" s="23">
        <f>IF(3&gt;n_k,0,H17)</f>
        <v/>
      </c>
      <c r="D18" s="27">
        <f>IF(3&gt;n_k,0,PMT_k)</f>
        <v/>
      </c>
      <c r="E18" s="23">
        <f>IF(3&gt;n_k,0,MAX((C18-D18)*r_k,0))</f>
        <v/>
      </c>
      <c r="F18" s="23">
        <f>IF(3&gt;n_k,0,D18-E18)</f>
        <v/>
      </c>
      <c r="G18" s="23">
        <f>IF(3&gt;n_k,0,C18-F18)</f>
        <v/>
      </c>
      <c r="H18" s="23">
        <f>IF(3&gt;n_k,0,J17)</f>
        <v/>
      </c>
      <c r="I18" s="23">
        <f>IF(3&gt;n_k,0,$D$10/n_k)</f>
        <v/>
      </c>
      <c r="J18" s="23">
        <f>IF(3&gt;n_k,0,H18-I18)</f>
        <v/>
      </c>
    </row>
    <row r="19">
      <c r="B19" s="19">
        <f>IF(4&gt;n_k,"",4)</f>
        <v/>
      </c>
      <c r="C19" s="23">
        <f>IF(4&gt;n_k,0,H18)</f>
        <v/>
      </c>
      <c r="D19" s="27">
        <f>IF(4&gt;n_k,0,PMT_k)</f>
        <v/>
      </c>
      <c r="E19" s="23">
        <f>IF(4&gt;n_k,0,MAX((C19-D19)*r_k,0))</f>
        <v/>
      </c>
      <c r="F19" s="23">
        <f>IF(4&gt;n_k,0,D19-E19)</f>
        <v/>
      </c>
      <c r="G19" s="23">
        <f>IF(4&gt;n_k,0,C19-F19)</f>
        <v/>
      </c>
      <c r="H19" s="23">
        <f>IF(4&gt;n_k,0,J18)</f>
        <v/>
      </c>
      <c r="I19" s="23">
        <f>IF(4&gt;n_k,0,$D$10/n_k)</f>
        <v/>
      </c>
      <c r="J19" s="23">
        <f>IF(4&gt;n_k,0,H19-I19)</f>
        <v/>
      </c>
    </row>
    <row r="20">
      <c r="B20" s="19">
        <f>IF(5&gt;n_k,"",5)</f>
        <v/>
      </c>
      <c r="C20" s="23">
        <f>IF(5&gt;n_k,0,H19)</f>
        <v/>
      </c>
      <c r="D20" s="27">
        <f>IF(5&gt;n_k,0,PMT_k)</f>
        <v/>
      </c>
      <c r="E20" s="23">
        <f>IF(5&gt;n_k,0,MAX((C20-D20)*r_k,0))</f>
        <v/>
      </c>
      <c r="F20" s="23">
        <f>IF(5&gt;n_k,0,D20-E20)</f>
        <v/>
      </c>
      <c r="G20" s="23">
        <f>IF(5&gt;n_k,0,C20-F20)</f>
        <v/>
      </c>
      <c r="H20" s="23">
        <f>IF(5&gt;n_k,0,J19)</f>
        <v/>
      </c>
      <c r="I20" s="23">
        <f>IF(5&gt;n_k,0,$D$10/n_k)</f>
        <v/>
      </c>
      <c r="J20" s="23">
        <f>IF(5&gt;n_k,0,H20-I20)</f>
        <v/>
      </c>
    </row>
    <row r="21">
      <c r="B21" s="19">
        <f>IF(6&gt;n_k,"",6)</f>
        <v/>
      </c>
      <c r="C21" s="23">
        <f>IF(6&gt;n_k,0,H20)</f>
        <v/>
      </c>
      <c r="D21" s="27">
        <f>IF(6&gt;n_k,0,PMT_k)</f>
        <v/>
      </c>
      <c r="E21" s="23">
        <f>IF(6&gt;n_k,0,MAX((C21-D21)*r_k,0))</f>
        <v/>
      </c>
      <c r="F21" s="23">
        <f>IF(6&gt;n_k,0,D21-E21)</f>
        <v/>
      </c>
      <c r="G21" s="23">
        <f>IF(6&gt;n_k,0,C21-F21)</f>
        <v/>
      </c>
      <c r="H21" s="23">
        <f>IF(6&gt;n_k,0,J20)</f>
        <v/>
      </c>
      <c r="I21" s="23">
        <f>IF(6&gt;n_k,0,$D$10/n_k)</f>
        <v/>
      </c>
      <c r="J21" s="23">
        <f>IF(6&gt;n_k,0,H21-I21)</f>
        <v/>
      </c>
    </row>
    <row r="22">
      <c r="B22" s="19">
        <f>IF(7&gt;n_k,"",7)</f>
        <v/>
      </c>
      <c r="C22" s="23">
        <f>IF(7&gt;n_k,0,H21)</f>
        <v/>
      </c>
      <c r="D22" s="27">
        <f>IF(7&gt;n_k,0,PMT_k)</f>
        <v/>
      </c>
      <c r="E22" s="23">
        <f>IF(7&gt;n_k,0,MAX((C22-D22)*r_k,0))</f>
        <v/>
      </c>
      <c r="F22" s="23">
        <f>IF(7&gt;n_k,0,D22-E22)</f>
        <v/>
      </c>
      <c r="G22" s="23">
        <f>IF(7&gt;n_k,0,C22-F22)</f>
        <v/>
      </c>
      <c r="H22" s="23">
        <f>IF(7&gt;n_k,0,J21)</f>
        <v/>
      </c>
      <c r="I22" s="23">
        <f>IF(7&gt;n_k,0,$D$10/n_k)</f>
        <v/>
      </c>
      <c r="J22" s="23">
        <f>IF(7&gt;n_k,0,H22-I22)</f>
        <v/>
      </c>
    </row>
    <row r="23">
      <c r="B23" s="19">
        <f>IF(8&gt;n_k,"",8)</f>
        <v/>
      </c>
      <c r="C23" s="23">
        <f>IF(8&gt;n_k,0,H22)</f>
        <v/>
      </c>
      <c r="D23" s="27">
        <f>IF(8&gt;n_k,0,PMT_k)</f>
        <v/>
      </c>
      <c r="E23" s="23">
        <f>IF(8&gt;n_k,0,MAX((C23-D23)*r_k,0))</f>
        <v/>
      </c>
      <c r="F23" s="23">
        <f>IF(8&gt;n_k,0,D23-E23)</f>
        <v/>
      </c>
      <c r="G23" s="23">
        <f>IF(8&gt;n_k,0,C23-F23)</f>
        <v/>
      </c>
      <c r="H23" s="23">
        <f>IF(8&gt;n_k,0,J22)</f>
        <v/>
      </c>
      <c r="I23" s="23">
        <f>IF(8&gt;n_k,0,$D$10/n_k)</f>
        <v/>
      </c>
      <c r="J23" s="23">
        <f>IF(8&gt;n_k,0,H23-I23)</f>
        <v/>
      </c>
    </row>
    <row r="24">
      <c r="B24" s="19">
        <f>IF(9&gt;n_k,"",9)</f>
        <v/>
      </c>
      <c r="C24" s="23">
        <f>IF(9&gt;n_k,0,H23)</f>
        <v/>
      </c>
      <c r="D24" s="27">
        <f>IF(9&gt;n_k,0,PMT_k)</f>
        <v/>
      </c>
      <c r="E24" s="23">
        <f>IF(9&gt;n_k,0,MAX((C24-D24)*r_k,0))</f>
        <v/>
      </c>
      <c r="F24" s="23">
        <f>IF(9&gt;n_k,0,D24-E24)</f>
        <v/>
      </c>
      <c r="G24" s="23">
        <f>IF(9&gt;n_k,0,C24-F24)</f>
        <v/>
      </c>
      <c r="H24" s="23">
        <f>IF(9&gt;n_k,0,J23)</f>
        <v/>
      </c>
      <c r="I24" s="23">
        <f>IF(9&gt;n_k,0,$D$10/n_k)</f>
        <v/>
      </c>
      <c r="J24" s="23">
        <f>IF(9&gt;n_k,0,H24-I24)</f>
        <v/>
      </c>
    </row>
    <row r="25">
      <c r="B25" s="19">
        <f>IF(10&gt;n_k,"",10)</f>
        <v/>
      </c>
      <c r="C25" s="23">
        <f>IF(10&gt;n_k,0,H24)</f>
        <v/>
      </c>
      <c r="D25" s="27">
        <f>IF(10&gt;n_k,0,PMT_k)</f>
        <v/>
      </c>
      <c r="E25" s="23">
        <f>IF(10&gt;n_k,0,MAX((C25-D25)*r_k,0))</f>
        <v/>
      </c>
      <c r="F25" s="23">
        <f>IF(10&gt;n_k,0,D25-E25)</f>
        <v/>
      </c>
      <c r="G25" s="23">
        <f>IF(10&gt;n_k,0,C25-F25)</f>
        <v/>
      </c>
      <c r="H25" s="23">
        <f>IF(10&gt;n_k,0,J24)</f>
        <v/>
      </c>
      <c r="I25" s="23">
        <f>IF(10&gt;n_k,0,$D$10/n_k)</f>
        <v/>
      </c>
      <c r="J25" s="23">
        <f>IF(10&gt;n_k,0,H25-I25)</f>
        <v/>
      </c>
    </row>
    <row r="26">
      <c r="B26" s="21" t="inlineStr">
        <is>
          <t>TOTAL</t>
        </is>
      </c>
      <c r="C26" s="28" t="inlineStr"/>
      <c r="D26" s="16">
        <f>SUM(D16:D25)</f>
        <v/>
      </c>
      <c r="E26" s="16">
        <f>SUM(E16:E25)</f>
        <v/>
      </c>
      <c r="F26" s="16">
        <f>SUM(F16:F25)</f>
        <v/>
      </c>
      <c r="G26" s="28" t="inlineStr"/>
      <c r="H26" s="28" t="inlineStr"/>
      <c r="I26" s="16">
        <f>SUM(I16:I25)</f>
        <v/>
      </c>
      <c r="J26" s="28" t="inlineStr"/>
    </row>
    <row r="28">
      <c r="B28" s="9" t="inlineStr">
        <is>
          <t>3. DAMPAK LABA RUGI PER TAHUN (LESEE)</t>
        </is>
      </c>
    </row>
    <row r="29" ht="22" customHeight="1">
      <c r="B29" s="9" t="inlineStr">
        <is>
          <t>Thn</t>
        </is>
      </c>
      <c r="C29" s="9" t="inlineStr">
        <is>
          <t>Beban Bunga</t>
        </is>
      </c>
      <c r="D29" s="9" t="inlineStr">
        <is>
          <t>Beban Depresiasi</t>
        </is>
      </c>
      <c r="E29" s="9" t="inlineStr">
        <is>
          <t>Total Beban Sewa</t>
        </is>
      </c>
      <c r="F29" s="9" t="inlineStr">
        <is>
          <t>vs Sewa Tunai</t>
        </is>
      </c>
    </row>
    <row r="30">
      <c r="B30" s="19">
        <f>IF(1&gt;n_k,"",1)</f>
        <v/>
      </c>
      <c r="C30" s="23">
        <f>IF(1&gt;n_k,0,E16)</f>
        <v/>
      </c>
      <c r="D30" s="23">
        <f>IF(1&gt;n_k,0,I16)</f>
        <v/>
      </c>
      <c r="E30" s="16">
        <f>IF(1&gt;n_k,0,C30+D30)</f>
        <v/>
      </c>
      <c r="F30" s="23">
        <f>IF(1&gt;n_k,0,E30-D16)</f>
        <v/>
      </c>
    </row>
    <row r="31">
      <c r="B31" s="19">
        <f>IF(2&gt;n_k,"",2)</f>
        <v/>
      </c>
      <c r="C31" s="23">
        <f>IF(2&gt;n_k,0,E17)</f>
        <v/>
      </c>
      <c r="D31" s="23">
        <f>IF(2&gt;n_k,0,I17)</f>
        <v/>
      </c>
      <c r="E31" s="16">
        <f>IF(2&gt;n_k,0,C31+D31)</f>
        <v/>
      </c>
      <c r="F31" s="23">
        <f>IF(2&gt;n_k,0,E31-D17)</f>
        <v/>
      </c>
    </row>
    <row r="32">
      <c r="B32" s="19">
        <f>IF(3&gt;n_k,"",3)</f>
        <v/>
      </c>
      <c r="C32" s="23">
        <f>IF(3&gt;n_k,0,E18)</f>
        <v/>
      </c>
      <c r="D32" s="23">
        <f>IF(3&gt;n_k,0,I18)</f>
        <v/>
      </c>
      <c r="E32" s="16">
        <f>IF(3&gt;n_k,0,C32+D32)</f>
        <v/>
      </c>
      <c r="F32" s="23">
        <f>IF(3&gt;n_k,0,E32-D18)</f>
        <v/>
      </c>
    </row>
    <row r="33">
      <c r="B33" s="19">
        <f>IF(4&gt;n_k,"",4)</f>
        <v/>
      </c>
      <c r="C33" s="23">
        <f>IF(4&gt;n_k,0,E19)</f>
        <v/>
      </c>
      <c r="D33" s="23">
        <f>IF(4&gt;n_k,0,I19)</f>
        <v/>
      </c>
      <c r="E33" s="16">
        <f>IF(4&gt;n_k,0,C33+D33)</f>
        <v/>
      </c>
      <c r="F33" s="23">
        <f>IF(4&gt;n_k,0,E33-D19)</f>
        <v/>
      </c>
    </row>
    <row r="34">
      <c r="B34" s="19">
        <f>IF(5&gt;n_k,"",5)</f>
        <v/>
      </c>
      <c r="C34" s="23">
        <f>IF(5&gt;n_k,0,E20)</f>
        <v/>
      </c>
      <c r="D34" s="23">
        <f>IF(5&gt;n_k,0,I20)</f>
        <v/>
      </c>
      <c r="E34" s="16">
        <f>IF(5&gt;n_k,0,C34+D34)</f>
        <v/>
      </c>
      <c r="F34" s="23">
        <f>IF(5&gt;n_k,0,E34-D20)</f>
        <v/>
      </c>
    </row>
    <row r="35">
      <c r="B35" s="19">
        <f>IF(6&gt;n_k,"",6)</f>
        <v/>
      </c>
      <c r="C35" s="23">
        <f>IF(6&gt;n_k,0,E21)</f>
        <v/>
      </c>
      <c r="D35" s="23">
        <f>IF(6&gt;n_k,0,I21)</f>
        <v/>
      </c>
      <c r="E35" s="16">
        <f>IF(6&gt;n_k,0,C35+D35)</f>
        <v/>
      </c>
      <c r="F35" s="23">
        <f>IF(6&gt;n_k,0,E35-D21)</f>
        <v/>
      </c>
    </row>
    <row r="36">
      <c r="B36" s="19">
        <f>IF(7&gt;n_k,"",7)</f>
        <v/>
      </c>
      <c r="C36" s="23">
        <f>IF(7&gt;n_k,0,E22)</f>
        <v/>
      </c>
      <c r="D36" s="23">
        <f>IF(7&gt;n_k,0,I22)</f>
        <v/>
      </c>
      <c r="E36" s="16">
        <f>IF(7&gt;n_k,0,C36+D36)</f>
        <v/>
      </c>
      <c r="F36" s="23">
        <f>IF(7&gt;n_k,0,E36-D22)</f>
        <v/>
      </c>
    </row>
    <row r="37">
      <c r="B37" s="19">
        <f>IF(8&gt;n_k,"",8)</f>
        <v/>
      </c>
      <c r="C37" s="23">
        <f>IF(8&gt;n_k,0,E23)</f>
        <v/>
      </c>
      <c r="D37" s="23">
        <f>IF(8&gt;n_k,0,I23)</f>
        <v/>
      </c>
      <c r="E37" s="16">
        <f>IF(8&gt;n_k,0,C37+D37)</f>
        <v/>
      </c>
      <c r="F37" s="23">
        <f>IF(8&gt;n_k,0,E37-D23)</f>
        <v/>
      </c>
    </row>
    <row r="38">
      <c r="B38" s="19">
        <f>IF(9&gt;n_k,"",9)</f>
        <v/>
      </c>
      <c r="C38" s="23">
        <f>IF(9&gt;n_k,0,E24)</f>
        <v/>
      </c>
      <c r="D38" s="23">
        <f>IF(9&gt;n_k,0,I24)</f>
        <v/>
      </c>
      <c r="E38" s="16">
        <f>IF(9&gt;n_k,0,C38+D38)</f>
        <v/>
      </c>
      <c r="F38" s="23">
        <f>IF(9&gt;n_k,0,E38-D24)</f>
        <v/>
      </c>
    </row>
    <row r="39">
      <c r="B39" s="19">
        <f>IF(10&gt;n_k,"",10)</f>
        <v/>
      </c>
      <c r="C39" s="23">
        <f>IF(10&gt;n_k,0,E25)</f>
        <v/>
      </c>
      <c r="D39" s="23">
        <f>IF(10&gt;n_k,0,I25)</f>
        <v/>
      </c>
      <c r="E39" s="16">
        <f>IF(10&gt;n_k,0,C39+D39)</f>
        <v/>
      </c>
      <c r="F39" s="23">
        <f>IF(10&gt;n_k,0,E39-D25)</f>
        <v/>
      </c>
    </row>
    <row r="40">
      <c r="B40" s="21" t="inlineStr">
        <is>
          <t>TOTAL</t>
        </is>
      </c>
      <c r="C40" s="16">
        <f>SUM(C30:C39)</f>
        <v/>
      </c>
      <c r="D40" s="16">
        <f>SUM(D30:D39)</f>
        <v/>
      </c>
      <c r="E40" s="16">
        <f>SUM(E30:E39)</f>
        <v/>
      </c>
      <c r="F40" s="16">
        <f>SUM(F30:F39)</f>
        <v/>
      </c>
    </row>
    <row r="42">
      <c r="B42" s="9" t="inlineStr">
        <is>
          <t>4. JURNAL AWAL (HARI 1) &amp; AKHIR TAHUN 1</t>
        </is>
      </c>
    </row>
    <row r="43">
      <c r="B43" s="5" t="inlineStr">
        <is>
          <t>Dr  Right-of-Use Asset</t>
        </is>
      </c>
      <c r="C43" s="24" t="n"/>
      <c r="D43" s="24" t="n"/>
      <c r="E43" s="24" t="n"/>
      <c r="F43" s="24" t="n"/>
      <c r="G43" s="24" t="n"/>
      <c r="H43" s="22" t="n"/>
      <c r="I43" s="16">
        <f>$D$10</f>
        <v/>
      </c>
      <c r="J43" s="29" t="inlineStr"/>
    </row>
    <row r="44">
      <c r="B44" s="5" t="inlineStr">
        <is>
          <t xml:space="preserve">     Cr  Lease Liability</t>
        </is>
      </c>
      <c r="C44" s="24" t="n"/>
      <c r="D44" s="24" t="n"/>
      <c r="E44" s="24" t="n"/>
      <c r="F44" s="24" t="n"/>
      <c r="G44" s="24" t="n"/>
      <c r="H44" s="22" t="n"/>
      <c r="I44" s="16">
        <f>-$D$9</f>
        <v/>
      </c>
      <c r="J44" s="29" t="inlineStr"/>
    </row>
    <row r="45">
      <c r="B45" s="5" t="inlineStr">
        <is>
          <t>(Pengakuan awal sewa PSAK 73)</t>
        </is>
      </c>
      <c r="C45" s="24" t="n"/>
      <c r="D45" s="24" t="n"/>
      <c r="E45" s="24" t="n"/>
      <c r="F45" s="24" t="n"/>
      <c r="G45" s="24" t="n"/>
      <c r="H45" s="22" t="n"/>
      <c r="I45" s="29" t="inlineStr"/>
      <c r="J45" s="29" t="inlineStr"/>
    </row>
    <row r="46">
      <c r="B46" s="5" t="inlineStr"/>
      <c r="C46" s="24" t="n"/>
      <c r="D46" s="24" t="n"/>
      <c r="E46" s="24" t="n"/>
      <c r="F46" s="24" t="n"/>
      <c r="G46" s="24" t="n"/>
      <c r="H46" s="22" t="n"/>
      <c r="I46" s="29" t="inlineStr"/>
      <c r="J46" s="29" t="inlineStr"/>
    </row>
    <row r="47">
      <c r="B47" s="5" t="inlineStr">
        <is>
          <t>Dr  Beban Bunga (Tahun 1)</t>
        </is>
      </c>
      <c r="C47" s="24" t="n"/>
      <c r="D47" s="24" t="n"/>
      <c r="E47" s="24" t="n"/>
      <c r="F47" s="24" t="n"/>
      <c r="G47" s="24" t="n"/>
      <c r="H47" s="22" t="n"/>
      <c r="I47" s="16">
        <f>E16</f>
        <v/>
      </c>
      <c r="J47" s="29" t="inlineStr"/>
    </row>
    <row r="48">
      <c r="B48" s="5" t="inlineStr">
        <is>
          <t>Dr  Lease Liability (pokok)</t>
        </is>
      </c>
      <c r="C48" s="24" t="n"/>
      <c r="D48" s="24" t="n"/>
      <c r="E48" s="24" t="n"/>
      <c r="F48" s="24" t="n"/>
      <c r="G48" s="24" t="n"/>
      <c r="H48" s="22" t="n"/>
      <c r="I48" s="16">
        <f>F16</f>
        <v/>
      </c>
      <c r="J48" s="29" t="inlineStr"/>
    </row>
    <row r="49">
      <c r="B49" s="5" t="inlineStr">
        <is>
          <t xml:space="preserve">     Cr  Kas (pembayaran Tahun 1)</t>
        </is>
      </c>
      <c r="C49" s="24" t="n"/>
      <c r="D49" s="24" t="n"/>
      <c r="E49" s="24" t="n"/>
      <c r="F49" s="24" t="n"/>
      <c r="G49" s="24" t="n"/>
      <c r="H49" s="22" t="n"/>
      <c r="I49" s="16">
        <f>-D16</f>
        <v/>
      </c>
      <c r="J49" s="29" t="inlineStr"/>
    </row>
    <row r="50">
      <c r="B50" s="5" t="inlineStr">
        <is>
          <t>(Pembayaran sewa tahun 1 — annuity due)</t>
        </is>
      </c>
      <c r="C50" s="24" t="n"/>
      <c r="D50" s="24" t="n"/>
      <c r="E50" s="24" t="n"/>
      <c r="F50" s="24" t="n"/>
      <c r="G50" s="24" t="n"/>
      <c r="H50" s="22" t="n"/>
      <c r="I50" s="29" t="inlineStr"/>
      <c r="J50" s="29" t="inlineStr"/>
    </row>
    <row r="51">
      <c r="B51" s="5" t="inlineStr"/>
      <c r="C51" s="24" t="n"/>
      <c r="D51" s="24" t="n"/>
      <c r="E51" s="24" t="n"/>
      <c r="F51" s="24" t="n"/>
      <c r="G51" s="24" t="n"/>
      <c r="H51" s="22" t="n"/>
      <c r="I51" s="29" t="inlineStr"/>
      <c r="J51" s="29" t="inlineStr"/>
    </row>
    <row r="52">
      <c r="B52" s="5" t="inlineStr">
        <is>
          <t>Dr  Beban Depresiasi ROU (Tahun 1)</t>
        </is>
      </c>
      <c r="C52" s="24" t="n"/>
      <c r="D52" s="24" t="n"/>
      <c r="E52" s="24" t="n"/>
      <c r="F52" s="24" t="n"/>
      <c r="G52" s="24" t="n"/>
      <c r="H52" s="22" t="n"/>
      <c r="I52" s="16">
        <f>I16</f>
        <v/>
      </c>
      <c r="J52" s="29" t="inlineStr"/>
    </row>
    <row r="53">
      <c r="B53" s="5" t="inlineStr">
        <is>
          <t xml:space="preserve">     Cr  Akumulasi Depresiasi ROU</t>
        </is>
      </c>
      <c r="C53" s="24" t="n"/>
      <c r="D53" s="24" t="n"/>
      <c r="E53" s="24" t="n"/>
      <c r="F53" s="24" t="n"/>
      <c r="G53" s="24" t="n"/>
      <c r="H53" s="22" t="n"/>
      <c r="I53" s="16">
        <f>-I16</f>
        <v/>
      </c>
      <c r="J53" s="29" t="inlineStr"/>
    </row>
    <row r="54">
      <c r="B54" s="5" t="inlineStr">
        <is>
          <t>(Penyusutan ROU straight-line)</t>
        </is>
      </c>
      <c r="C54" s="24" t="n"/>
      <c r="D54" s="24" t="n"/>
      <c r="E54" s="24" t="n"/>
      <c r="F54" s="24" t="n"/>
      <c r="G54" s="24" t="n"/>
      <c r="H54" s="22" t="n"/>
      <c r="I54" s="29" t="inlineStr"/>
      <c r="J54" s="29" t="inlineStr"/>
    </row>
  </sheetData>
  <mergeCells count="32">
    <mergeCell ref="E10:J10"/>
    <mergeCell ref="B7:C7"/>
    <mergeCell ref="B42:J42"/>
    <mergeCell ref="B49:H49"/>
    <mergeCell ref="B14:J14"/>
    <mergeCell ref="E9:J9"/>
    <mergeCell ref="E6:J6"/>
    <mergeCell ref="B51:H51"/>
    <mergeCell ref="B45:H45"/>
    <mergeCell ref="B12:C12"/>
    <mergeCell ref="E11:J11"/>
    <mergeCell ref="B50:H50"/>
    <mergeCell ref="B11:C11"/>
    <mergeCell ref="B28:J28"/>
    <mergeCell ref="B47:H47"/>
    <mergeCell ref="B54:H54"/>
    <mergeCell ref="B8:C8"/>
    <mergeCell ref="E7:J7"/>
    <mergeCell ref="B46:H46"/>
    <mergeCell ref="B5:J5"/>
    <mergeCell ref="B52:H52"/>
    <mergeCell ref="B43:H43"/>
    <mergeCell ref="B10:C10"/>
    <mergeCell ref="B48:H48"/>
    <mergeCell ref="E12:J12"/>
    <mergeCell ref="B9:C9"/>
    <mergeCell ref="B6:C6"/>
    <mergeCell ref="B3:J3"/>
    <mergeCell ref="B44:H44"/>
    <mergeCell ref="B53:H53"/>
    <mergeCell ref="E8:J8"/>
    <mergeCell ref="B2:J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5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36" customWidth="1" min="3" max="3"/>
    <col width="16" customWidth="1" min="4" max="4"/>
    <col width="16" customWidth="1" min="5" max="5"/>
    <col width="16" customWidth="1" min="6" max="6"/>
    <col width="46" customWidth="1" min="7" max="7"/>
  </cols>
  <sheetData>
    <row r="2" ht="28" customHeight="1">
      <c r="B2" s="1" t="inlineStr">
        <is>
          <t>LESSOR — FINANCE vs OPERATING LEASE (GEDUNG)</t>
        </is>
      </c>
    </row>
    <row r="3">
      <c r="B3" s="2" t="inlineStr">
        <is>
          <t>Lessor mempertahankan dual-classification PSAK 73 par.61-66. Tes + dua perlakuan side-by-side.</t>
        </is>
      </c>
    </row>
    <row r="5">
      <c r="B5" s="9" t="inlineStr">
        <is>
          <t>1. TES KLASIFIKASI (PAR.63) — APakah FINANCE ATAU OPERATING?</t>
        </is>
      </c>
    </row>
    <row r="6" ht="22" customHeight="1">
      <c r="B6" s="9" t="inlineStr">
        <is>
          <t>No</t>
        </is>
      </c>
      <c r="C6" s="9" t="inlineStr">
        <is>
          <t>Indikator finance lease</t>
        </is>
      </c>
      <c r="D6" s="9" t="inlineStr">
        <is>
          <t>Nilai</t>
        </is>
      </c>
      <c r="E6" s="9" t="inlineStr">
        <is>
          <t>Threshold</t>
        </is>
      </c>
      <c r="F6" s="9" t="inlineStr">
        <is>
          <t>Status</t>
        </is>
      </c>
      <c r="G6" s="9" t="inlineStr">
        <is>
          <t>Catatan</t>
        </is>
      </c>
    </row>
    <row r="7">
      <c r="B7" s="19" t="inlineStr">
        <is>
          <t>(a)</t>
        </is>
      </c>
      <c r="C7" s="5" t="inlineStr">
        <is>
          <t>PV pembayaran sewa / Fair value</t>
        </is>
      </c>
      <c r="D7" s="25">
        <f>PV_g/FV_g</f>
        <v/>
      </c>
      <c r="E7" s="25">
        <f>thr_PV</f>
        <v/>
      </c>
      <c r="F7" s="19">
        <f>IF(D7&gt;=E7,"FINANCE","-")</f>
        <v/>
      </c>
      <c r="G7" s="14" t="inlineStr">
        <is>
          <t>PV &gt;= 90% FV -&gt; indikator finance.</t>
        </is>
      </c>
    </row>
    <row r="8">
      <c r="B8" s="19" t="inlineStr">
        <is>
          <t>(b)</t>
        </is>
      </c>
      <c r="C8" s="5" t="inlineStr">
        <is>
          <t>Tenor sewa / umur ekonomis</t>
        </is>
      </c>
      <c r="D8" s="25">
        <f>n_g/life_g</f>
        <v/>
      </c>
      <c r="E8" s="25">
        <f>thr_LIFE</f>
        <v/>
      </c>
      <c r="F8" s="19">
        <f>IF(D8&gt;=E8,"FINANCE","-")</f>
        <v/>
      </c>
      <c r="G8" s="14" t="inlineStr">
        <is>
          <t>Tenor &gt;= 75% umur ekonomis -&gt; finance.</t>
        </is>
      </c>
    </row>
    <row r="9">
      <c r="B9" s="19" t="inlineStr">
        <is>
          <t>(c)</t>
        </is>
      </c>
      <c r="C9" s="5" t="inlineStr">
        <is>
          <t>Aset khusus (specialized nature)</t>
        </is>
      </c>
      <c r="D9" s="18" t="inlineStr">
        <is>
          <t>TIDAK</t>
        </is>
      </c>
      <c r="E9" s="30" t="inlineStr">
        <is>
          <t>—</t>
        </is>
      </c>
      <c r="F9" s="19">
        <f>IF(D9="YA","FINANCE","-")</f>
        <v/>
      </c>
      <c r="G9" s="14" t="inlineStr">
        <is>
          <t>Gedung umum -&gt; tidak specialized.</t>
        </is>
      </c>
    </row>
    <row r="10">
      <c r="B10" s="19" t="inlineStr">
        <is>
          <t>(d)</t>
        </is>
      </c>
      <c r="C10" s="5" t="inlineStr">
        <is>
          <t>Opsi beli di bawah fair value</t>
        </is>
      </c>
      <c r="D10" s="18" t="inlineStr">
        <is>
          <t>TIDAK</t>
        </is>
      </c>
      <c r="E10" s="30" t="inlineStr">
        <is>
          <t>—</t>
        </is>
      </c>
      <c r="F10" s="19">
        <f>IF(D10="YA","FINANCE","-")</f>
        <v/>
      </c>
      <c r="G10" s="14" t="inlineStr">
        <is>
          <t>Tidak ada opsi beli.</t>
        </is>
      </c>
    </row>
    <row r="11">
      <c r="B11" s="31" t="inlineStr"/>
      <c r="C11" s="4" t="inlineStr">
        <is>
          <t>Jumlah indikator FINANCE terpenuhi</t>
        </is>
      </c>
      <c r="D11" s="32" t="inlineStr"/>
      <c r="E11" s="32" t="inlineStr"/>
      <c r="F11" s="12">
        <f>COUNTIF(F7:F10,"FINANCE")</f>
        <v/>
      </c>
      <c r="G11" s="33" t="inlineStr">
        <is>
          <t>Cukup 1 indikator terpenuhi -&gt; FINANCE.</t>
        </is>
      </c>
    </row>
    <row r="12">
      <c r="B12" s="34" t="inlineStr"/>
      <c r="C12" s="35" t="inlineStr">
        <is>
          <t>KLASIFIKASI AKHIR</t>
        </is>
      </c>
      <c r="D12" s="28" t="inlineStr"/>
      <c r="E12" s="28" t="inlineStr"/>
      <c r="F12" s="21">
        <f>IF(F11&gt;=1,"FINANCE LEASE","OPERATING LEASE")</f>
        <v/>
      </c>
      <c r="G12" s="36" t="inlineStr">
        <is>
          <t>Hasil tes klasifikasi lessor.</t>
        </is>
      </c>
    </row>
    <row r="14">
      <c r="B14" s="15" t="inlineStr">
        <is>
          <t>2. FINANCE LEASE — AKUNTANSI LESSOR</t>
        </is>
      </c>
    </row>
    <row r="15">
      <c r="C15" s="5" t="inlineStr">
        <is>
          <t>Harga perolehan aset (carrying amount)</t>
        </is>
      </c>
      <c r="D15" s="23">
        <f>cost_g</f>
        <v/>
      </c>
      <c r="E15" s="14" t="inlineStr">
        <is>
          <t>Cost aset di neraca lessor.</t>
        </is>
      </c>
      <c r="F15" s="24" t="n"/>
      <c r="G15" s="22" t="n"/>
    </row>
    <row r="16">
      <c r="C16" s="4" t="inlineStr">
        <is>
          <t>Net investment in lease (= PV pembayaran)</t>
        </is>
      </c>
      <c r="D16" s="16">
        <f>PV_g</f>
        <v/>
      </c>
      <c r="E16" s="14" t="inlineStr">
        <is>
          <t>PV pembayaran sewa (annuity due).</t>
        </is>
      </c>
      <c r="F16" s="24" t="n"/>
      <c r="G16" s="22" t="n"/>
    </row>
    <row r="17">
      <c r="C17" s="4" t="inlineStr">
        <is>
          <t>Laba hari-1 (manufacturer/dealer profit)</t>
        </is>
      </c>
      <c r="D17" s="16">
        <f>D16-D15</f>
        <v/>
      </c>
      <c r="E17" s="14" t="inlineStr">
        <is>
          <t>Dr Receivable PV, Cr Aset (cost), Cr Pendapatan hari-1.</t>
        </is>
      </c>
      <c r="F17" s="24" t="n"/>
      <c r="G17" s="22" t="n"/>
    </row>
    <row r="18">
      <c r="C18" s="4" t="inlineStr">
        <is>
          <t>Pendapatan bunga total (EIR @ implicit rate)</t>
        </is>
      </c>
      <c r="D18" s="16">
        <f>PMT_g*n_g-PV_g</f>
        <v/>
      </c>
      <c r="E18" s="14" t="inlineStr">
        <is>
          <t>Diacak via metode bunga efektif 5 thn.</t>
        </is>
      </c>
      <c r="F18" s="24" t="n"/>
      <c r="G18" s="22" t="n"/>
    </row>
    <row r="20">
      <c r="B20" s="9" t="inlineStr">
        <is>
          <t>JADWAL BUNGA EFEKTIF — PENDAPATAN BUNGA LESSOR</t>
        </is>
      </c>
    </row>
    <row r="21" ht="22" customHeight="1">
      <c r="B21" s="9" t="inlineStr">
        <is>
          <t>Thn</t>
        </is>
      </c>
      <c r="C21" s="9" t="inlineStr">
        <is>
          <t>Net Investment Awal</t>
        </is>
      </c>
      <c r="D21" s="9" t="inlineStr">
        <is>
          <t>Pembayaran</t>
        </is>
      </c>
      <c r="E21" s="9" t="inlineStr">
        <is>
          <t>Pendapatan Bunga</t>
        </is>
      </c>
      <c r="F21" s="9" t="inlineStr">
        <is>
          <t>Pengurangan Pokok</t>
        </is>
      </c>
      <c r="G21" s="9" t="inlineStr">
        <is>
          <t>Net Investment Akhir</t>
        </is>
      </c>
    </row>
    <row r="22">
      <c r="B22" s="19">
        <f>IF(1&gt;n_g,"",1)</f>
        <v/>
      </c>
      <c r="C22" s="23">
        <f>IF(1&gt;n_g,0,PV_g)</f>
        <v/>
      </c>
      <c r="D22" s="37">
        <f>IF(1&gt;n_g,0,PMT_g)</f>
        <v/>
      </c>
      <c r="E22" s="23">
        <f>IF(1&gt;n_g,0,MAX((C22-D22)*irr_g,0))</f>
        <v/>
      </c>
      <c r="F22" s="23">
        <f>IF(1&gt;n_g,0,D22-E22)</f>
        <v/>
      </c>
      <c r="G22" s="23">
        <f>IF(1&gt;n_g,0,C22-F22)</f>
        <v/>
      </c>
    </row>
    <row r="23">
      <c r="B23" s="19">
        <f>IF(2&gt;n_g,"",2)</f>
        <v/>
      </c>
      <c r="C23" s="23">
        <f>IF(2&gt;n_g,0,G22)</f>
        <v/>
      </c>
      <c r="D23" s="37">
        <f>IF(2&gt;n_g,0,PMT_g)</f>
        <v/>
      </c>
      <c r="E23" s="23">
        <f>IF(2&gt;n_g,0,MAX((C23-D23)*irr_g,0))</f>
        <v/>
      </c>
      <c r="F23" s="23">
        <f>IF(2&gt;n_g,0,D23-E23)</f>
        <v/>
      </c>
      <c r="G23" s="23">
        <f>IF(2&gt;n_g,0,C23-F23)</f>
        <v/>
      </c>
    </row>
    <row r="24">
      <c r="B24" s="19">
        <f>IF(3&gt;n_g,"",3)</f>
        <v/>
      </c>
      <c r="C24" s="23">
        <f>IF(3&gt;n_g,0,G23)</f>
        <v/>
      </c>
      <c r="D24" s="37">
        <f>IF(3&gt;n_g,0,PMT_g)</f>
        <v/>
      </c>
      <c r="E24" s="23">
        <f>IF(3&gt;n_g,0,MAX((C24-D24)*irr_g,0))</f>
        <v/>
      </c>
      <c r="F24" s="23">
        <f>IF(3&gt;n_g,0,D24-E24)</f>
        <v/>
      </c>
      <c r="G24" s="23">
        <f>IF(3&gt;n_g,0,C24-F24)</f>
        <v/>
      </c>
    </row>
    <row r="25">
      <c r="B25" s="19">
        <f>IF(4&gt;n_g,"",4)</f>
        <v/>
      </c>
      <c r="C25" s="23">
        <f>IF(4&gt;n_g,0,G24)</f>
        <v/>
      </c>
      <c r="D25" s="37">
        <f>IF(4&gt;n_g,0,PMT_g)</f>
        <v/>
      </c>
      <c r="E25" s="23">
        <f>IF(4&gt;n_g,0,MAX((C25-D25)*irr_g,0))</f>
        <v/>
      </c>
      <c r="F25" s="23">
        <f>IF(4&gt;n_g,0,D25-E25)</f>
        <v/>
      </c>
      <c r="G25" s="23">
        <f>IF(4&gt;n_g,0,C25-F25)</f>
        <v/>
      </c>
    </row>
    <row r="26">
      <c r="B26" s="19">
        <f>IF(5&gt;n_g,"",5)</f>
        <v/>
      </c>
      <c r="C26" s="23">
        <f>IF(5&gt;n_g,0,G25)</f>
        <v/>
      </c>
      <c r="D26" s="37">
        <f>IF(5&gt;n_g,0,PMT_g)</f>
        <v/>
      </c>
      <c r="E26" s="23">
        <f>IF(5&gt;n_g,0,MAX((C26-D26)*irr_g,0))</f>
        <v/>
      </c>
      <c r="F26" s="23">
        <f>IF(5&gt;n_g,0,D26-E26)</f>
        <v/>
      </c>
      <c r="G26" s="23">
        <f>IF(5&gt;n_g,0,C26-F26)</f>
        <v/>
      </c>
    </row>
    <row r="27">
      <c r="B27" s="19">
        <f>IF(6&gt;n_g,"",6)</f>
        <v/>
      </c>
      <c r="C27" s="23">
        <f>IF(6&gt;n_g,0,G26)</f>
        <v/>
      </c>
      <c r="D27" s="37">
        <f>IF(6&gt;n_g,0,PMT_g)</f>
        <v/>
      </c>
      <c r="E27" s="23">
        <f>IF(6&gt;n_g,0,MAX((C27-D27)*irr_g,0))</f>
        <v/>
      </c>
      <c r="F27" s="23">
        <f>IF(6&gt;n_g,0,D27-E27)</f>
        <v/>
      </c>
      <c r="G27" s="23">
        <f>IF(6&gt;n_g,0,C27-F27)</f>
        <v/>
      </c>
    </row>
    <row r="28">
      <c r="B28" s="19">
        <f>IF(7&gt;n_g,"",7)</f>
        <v/>
      </c>
      <c r="C28" s="23">
        <f>IF(7&gt;n_g,0,G27)</f>
        <v/>
      </c>
      <c r="D28" s="37">
        <f>IF(7&gt;n_g,0,PMT_g)</f>
        <v/>
      </c>
      <c r="E28" s="23">
        <f>IF(7&gt;n_g,0,MAX((C28-D28)*irr_g,0))</f>
        <v/>
      </c>
      <c r="F28" s="23">
        <f>IF(7&gt;n_g,0,D28-E28)</f>
        <v/>
      </c>
      <c r="G28" s="23">
        <f>IF(7&gt;n_g,0,C28-F28)</f>
        <v/>
      </c>
    </row>
    <row r="29">
      <c r="B29" s="19">
        <f>IF(8&gt;n_g,"",8)</f>
        <v/>
      </c>
      <c r="C29" s="23">
        <f>IF(8&gt;n_g,0,G28)</f>
        <v/>
      </c>
      <c r="D29" s="37">
        <f>IF(8&gt;n_g,0,PMT_g)</f>
        <v/>
      </c>
      <c r="E29" s="23">
        <f>IF(8&gt;n_g,0,MAX((C29-D29)*irr_g,0))</f>
        <v/>
      </c>
      <c r="F29" s="23">
        <f>IF(8&gt;n_g,0,D29-E29)</f>
        <v/>
      </c>
      <c r="G29" s="23">
        <f>IF(8&gt;n_g,0,C29-F29)</f>
        <v/>
      </c>
    </row>
    <row r="30">
      <c r="B30" s="19">
        <f>IF(9&gt;n_g,"",9)</f>
        <v/>
      </c>
      <c r="C30" s="23">
        <f>IF(9&gt;n_g,0,G29)</f>
        <v/>
      </c>
      <c r="D30" s="37">
        <f>IF(9&gt;n_g,0,PMT_g)</f>
        <v/>
      </c>
      <c r="E30" s="23">
        <f>IF(9&gt;n_g,0,MAX((C30-D30)*irr_g,0))</f>
        <v/>
      </c>
      <c r="F30" s="23">
        <f>IF(9&gt;n_g,0,D30-E30)</f>
        <v/>
      </c>
      <c r="G30" s="23">
        <f>IF(9&gt;n_g,0,C30-F30)</f>
        <v/>
      </c>
    </row>
    <row r="31">
      <c r="B31" s="19">
        <f>IF(10&gt;n_g,"",10)</f>
        <v/>
      </c>
      <c r="C31" s="23">
        <f>IF(10&gt;n_g,0,G30)</f>
        <v/>
      </c>
      <c r="D31" s="37">
        <f>IF(10&gt;n_g,0,PMT_g)</f>
        <v/>
      </c>
      <c r="E31" s="23">
        <f>IF(10&gt;n_g,0,MAX((C31-D31)*irr_g,0))</f>
        <v/>
      </c>
      <c r="F31" s="23">
        <f>IF(10&gt;n_g,0,D31-E31)</f>
        <v/>
      </c>
      <c r="G31" s="23">
        <f>IF(10&gt;n_g,0,C31-F31)</f>
        <v/>
      </c>
    </row>
    <row r="32">
      <c r="B32" s="21" t="inlineStr">
        <is>
          <t>TOTAL</t>
        </is>
      </c>
      <c r="C32" s="28" t="inlineStr"/>
      <c r="D32" s="16">
        <f>SUM(D22:D31)</f>
        <v/>
      </c>
      <c r="E32" s="16">
        <f>SUM(E22:E31)</f>
        <v/>
      </c>
      <c r="F32" s="16">
        <f>SUM(F22:F31)</f>
        <v/>
      </c>
      <c r="G32" s="28" t="inlineStr"/>
    </row>
    <row r="34">
      <c r="B34" s="15" t="inlineStr">
        <is>
          <t>3. OPERATING LEASE — AKUNTANSI LESSOR (ALTERNATIF)</t>
        </is>
      </c>
    </row>
    <row r="35">
      <c r="C35" s="5" t="inlineStr">
        <is>
          <t>Aset tetap tetap di neraca lessor</t>
        </is>
      </c>
      <c r="D35" s="23">
        <f>cost_g</f>
        <v/>
      </c>
      <c r="E35" s="14" t="inlineStr">
        <is>
          <t>Tidak derecognize. Tetap di PSAK 16.</t>
        </is>
      </c>
      <c r="F35" s="24" t="n"/>
      <c r="G35" s="22" t="n"/>
    </row>
    <row r="36">
      <c r="C36" s="4" t="inlineStr">
        <is>
          <t>Depresiasi cost / tenor (utk ilustrasi)</t>
        </is>
      </c>
      <c r="D36" s="16">
        <f>cost_g/n_g</f>
        <v/>
      </c>
      <c r="E36" s="14" t="inlineStr">
        <is>
          <t>Praktik: pakai umur ekonomis asli.</t>
        </is>
      </c>
      <c r="F36" s="24" t="n"/>
      <c r="G36" s="22" t="n"/>
    </row>
    <row r="38">
      <c r="B38" s="9" t="inlineStr">
        <is>
          <t>JADWAL OPERATING LEASE — PENDAPATAN SEWA (STRAIGHT-LINE)</t>
        </is>
      </c>
    </row>
    <row r="39" ht="22" customHeight="1">
      <c r="B39" s="9" t="inlineStr">
        <is>
          <t>Thn</t>
        </is>
      </c>
      <c r="C39" s="9" t="inlineStr">
        <is>
          <t>Pendapatan Sewa</t>
        </is>
      </c>
      <c r="D39" s="9" t="inlineStr">
        <is>
          <t>Depresiasi Aset</t>
        </is>
      </c>
      <c r="E39" s="9" t="inlineStr">
        <is>
          <t>Beban Lain</t>
        </is>
      </c>
      <c r="F39" s="9" t="inlineStr">
        <is>
          <t>Laba Kotor/Thn</t>
        </is>
      </c>
      <c r="G39" s="9" t="inlineStr">
        <is>
          <t>Nilai Buku Aset Akhir</t>
        </is>
      </c>
    </row>
    <row r="40">
      <c r="B40" s="19">
        <f>IF(1&gt;n_g,"",1)</f>
        <v/>
      </c>
      <c r="C40" s="37">
        <f>IF(1&gt;n_g,0,PMT_g)</f>
        <v/>
      </c>
      <c r="D40" s="23">
        <f>IF(1&gt;n_g,0,cost_g/n_g)</f>
        <v/>
      </c>
      <c r="E40" s="23">
        <f>IF(1&gt;n_g,0,0)</f>
        <v/>
      </c>
      <c r="F40" s="16">
        <f>IF(1&gt;n_g,0,C40-D40-E40)</f>
        <v/>
      </c>
      <c r="G40" s="23">
        <f>IF(1&gt;n_g,0,cost_g-cost_g/n_g)</f>
        <v/>
      </c>
    </row>
    <row r="41">
      <c r="B41" s="19">
        <f>IF(2&gt;n_g,"",2)</f>
        <v/>
      </c>
      <c r="C41" s="37">
        <f>IF(2&gt;n_g,0,PMT_g)</f>
        <v/>
      </c>
      <c r="D41" s="23">
        <f>IF(2&gt;n_g,0,cost_g/n_g)</f>
        <v/>
      </c>
      <c r="E41" s="23">
        <f>IF(2&gt;n_g,0,0)</f>
        <v/>
      </c>
      <c r="F41" s="16">
        <f>IF(2&gt;n_g,0,C41-D41-E41)</f>
        <v/>
      </c>
      <c r="G41" s="23">
        <f>IF(2&gt;n_g,0,G40-cost_g/n_g)</f>
        <v/>
      </c>
    </row>
    <row r="42">
      <c r="B42" s="19">
        <f>IF(3&gt;n_g,"",3)</f>
        <v/>
      </c>
      <c r="C42" s="37">
        <f>IF(3&gt;n_g,0,PMT_g)</f>
        <v/>
      </c>
      <c r="D42" s="23">
        <f>IF(3&gt;n_g,0,cost_g/n_g)</f>
        <v/>
      </c>
      <c r="E42" s="23">
        <f>IF(3&gt;n_g,0,0)</f>
        <v/>
      </c>
      <c r="F42" s="16">
        <f>IF(3&gt;n_g,0,C42-D42-E42)</f>
        <v/>
      </c>
      <c r="G42" s="23">
        <f>IF(3&gt;n_g,0,G41-cost_g/n_g)</f>
        <v/>
      </c>
    </row>
    <row r="43">
      <c r="B43" s="19">
        <f>IF(4&gt;n_g,"",4)</f>
        <v/>
      </c>
      <c r="C43" s="37">
        <f>IF(4&gt;n_g,0,PMT_g)</f>
        <v/>
      </c>
      <c r="D43" s="23">
        <f>IF(4&gt;n_g,0,cost_g/n_g)</f>
        <v/>
      </c>
      <c r="E43" s="23">
        <f>IF(4&gt;n_g,0,0)</f>
        <v/>
      </c>
      <c r="F43" s="16">
        <f>IF(4&gt;n_g,0,C43-D43-E43)</f>
        <v/>
      </c>
      <c r="G43" s="23">
        <f>IF(4&gt;n_g,0,G42-cost_g/n_g)</f>
        <v/>
      </c>
    </row>
    <row r="44">
      <c r="B44" s="19">
        <f>IF(5&gt;n_g,"",5)</f>
        <v/>
      </c>
      <c r="C44" s="37">
        <f>IF(5&gt;n_g,0,PMT_g)</f>
        <v/>
      </c>
      <c r="D44" s="23">
        <f>IF(5&gt;n_g,0,cost_g/n_g)</f>
        <v/>
      </c>
      <c r="E44" s="23">
        <f>IF(5&gt;n_g,0,0)</f>
        <v/>
      </c>
      <c r="F44" s="16">
        <f>IF(5&gt;n_g,0,C44-D44-E44)</f>
        <v/>
      </c>
      <c r="G44" s="23">
        <f>IF(5&gt;n_g,0,G43-cost_g/n_g)</f>
        <v/>
      </c>
    </row>
    <row r="45">
      <c r="B45" s="19">
        <f>IF(6&gt;n_g,"",6)</f>
        <v/>
      </c>
      <c r="C45" s="37">
        <f>IF(6&gt;n_g,0,PMT_g)</f>
        <v/>
      </c>
      <c r="D45" s="23">
        <f>IF(6&gt;n_g,0,cost_g/n_g)</f>
        <v/>
      </c>
      <c r="E45" s="23">
        <f>IF(6&gt;n_g,0,0)</f>
        <v/>
      </c>
      <c r="F45" s="16">
        <f>IF(6&gt;n_g,0,C45-D45-E45)</f>
        <v/>
      </c>
      <c r="G45" s="23">
        <f>IF(6&gt;n_g,0,G44-cost_g/n_g)</f>
        <v/>
      </c>
    </row>
    <row r="46">
      <c r="B46" s="19">
        <f>IF(7&gt;n_g,"",7)</f>
        <v/>
      </c>
      <c r="C46" s="37">
        <f>IF(7&gt;n_g,0,PMT_g)</f>
        <v/>
      </c>
      <c r="D46" s="23">
        <f>IF(7&gt;n_g,0,cost_g/n_g)</f>
        <v/>
      </c>
      <c r="E46" s="23">
        <f>IF(7&gt;n_g,0,0)</f>
        <v/>
      </c>
      <c r="F46" s="16">
        <f>IF(7&gt;n_g,0,C46-D46-E46)</f>
        <v/>
      </c>
      <c r="G46" s="23">
        <f>IF(7&gt;n_g,0,G45-cost_g/n_g)</f>
        <v/>
      </c>
    </row>
    <row r="47">
      <c r="B47" s="19">
        <f>IF(8&gt;n_g,"",8)</f>
        <v/>
      </c>
      <c r="C47" s="37">
        <f>IF(8&gt;n_g,0,PMT_g)</f>
        <v/>
      </c>
      <c r="D47" s="23">
        <f>IF(8&gt;n_g,0,cost_g/n_g)</f>
        <v/>
      </c>
      <c r="E47" s="23">
        <f>IF(8&gt;n_g,0,0)</f>
        <v/>
      </c>
      <c r="F47" s="16">
        <f>IF(8&gt;n_g,0,C47-D47-E47)</f>
        <v/>
      </c>
      <c r="G47" s="23">
        <f>IF(8&gt;n_g,0,G46-cost_g/n_g)</f>
        <v/>
      </c>
    </row>
    <row r="48">
      <c r="B48" s="19">
        <f>IF(9&gt;n_g,"",9)</f>
        <v/>
      </c>
      <c r="C48" s="37">
        <f>IF(9&gt;n_g,0,PMT_g)</f>
        <v/>
      </c>
      <c r="D48" s="23">
        <f>IF(9&gt;n_g,0,cost_g/n_g)</f>
        <v/>
      </c>
      <c r="E48" s="23">
        <f>IF(9&gt;n_g,0,0)</f>
        <v/>
      </c>
      <c r="F48" s="16">
        <f>IF(9&gt;n_g,0,C48-D48-E48)</f>
        <v/>
      </c>
      <c r="G48" s="23">
        <f>IF(9&gt;n_g,0,G47-cost_g/n_g)</f>
        <v/>
      </c>
    </row>
    <row r="49">
      <c r="B49" s="19">
        <f>IF(10&gt;n_g,"",10)</f>
        <v/>
      </c>
      <c r="C49" s="37">
        <f>IF(10&gt;n_g,0,PMT_g)</f>
        <v/>
      </c>
      <c r="D49" s="23">
        <f>IF(10&gt;n_g,0,cost_g/n_g)</f>
        <v/>
      </c>
      <c r="E49" s="23">
        <f>IF(10&gt;n_g,0,0)</f>
        <v/>
      </c>
      <c r="F49" s="16">
        <f>IF(10&gt;n_g,0,C49-D49-E49)</f>
        <v/>
      </c>
      <c r="G49" s="23">
        <f>IF(10&gt;n_g,0,G48-cost_g/n_g)</f>
        <v/>
      </c>
    </row>
    <row r="50">
      <c r="B50" s="21" t="inlineStr">
        <is>
          <t>TOTAL</t>
        </is>
      </c>
      <c r="C50" s="16">
        <f>SUM(C40:C49)</f>
        <v/>
      </c>
      <c r="D50" s="16">
        <f>SUM(D40:D49)</f>
        <v/>
      </c>
      <c r="E50" s="16">
        <f>SUM(E40:E49)</f>
        <v/>
      </c>
      <c r="F50" s="16">
        <f>SUM(F40:F49)</f>
        <v/>
      </c>
      <c r="G50" s="28" t="inlineStr"/>
    </row>
    <row r="52">
      <c r="B52" s="9" t="inlineStr">
        <is>
          <t>4. RINGKASAN FINANCE vs OPERATING (GEDUNG, 5 TAHUN)</t>
        </is>
      </c>
    </row>
    <row r="53">
      <c r="B53" s="9" t="inlineStr">
        <is>
          <t>Metrik</t>
        </is>
      </c>
      <c r="C53" s="9" t="inlineStr">
        <is>
          <t>FINANCE LEASE</t>
        </is>
      </c>
      <c r="D53" s="9" t="inlineStr">
        <is>
          <t>OPERATING LEASE</t>
        </is>
      </c>
      <c r="E53" s="9" t="inlineStr">
        <is>
          <t>Selisih</t>
        </is>
      </c>
      <c r="F53" s="9" t="inlineStr">
        <is>
          <t>Catatan</t>
        </is>
      </c>
      <c r="G53" s="22" t="n"/>
    </row>
    <row r="54">
      <c r="B54" s="5" t="inlineStr">
        <is>
          <t>Pendapatan hari-1 (laba)</t>
        </is>
      </c>
      <c r="C54" s="37">
        <f>D17</f>
        <v/>
      </c>
      <c r="D54" s="37">
        <f>0</f>
        <v/>
      </c>
      <c r="E54" s="23">
        <f>C54-D54</f>
        <v/>
      </c>
      <c r="F54" s="14" t="inlineStr">
        <is>
          <t>Hanya finance.</t>
        </is>
      </c>
      <c r="G54" s="22" t="n"/>
    </row>
    <row r="55">
      <c r="B55" s="5" t="inlineStr">
        <is>
          <t>Pendapatan sewa 5 thn</t>
        </is>
      </c>
      <c r="C55" s="37">
        <f>0</f>
        <v/>
      </c>
      <c r="D55" s="37">
        <f>C50</f>
        <v/>
      </c>
      <c r="E55" s="23">
        <f>C55-D55</f>
        <v/>
      </c>
      <c r="F55" s="14" t="inlineStr">
        <is>
          <t>Operating: straight-line.</t>
        </is>
      </c>
      <c r="G55" s="22" t="n"/>
    </row>
    <row r="56">
      <c r="B56" s="5" t="inlineStr">
        <is>
          <t>Pendapatan bunga 5 thn</t>
        </is>
      </c>
      <c r="C56" s="37">
        <f>E32</f>
        <v/>
      </c>
      <c r="D56" s="37">
        <f>0</f>
        <v/>
      </c>
      <c r="E56" s="23">
        <f>C56-D56</f>
        <v/>
      </c>
      <c r="F56" s="14" t="inlineStr">
        <is>
          <t>Finance: EIR.</t>
        </is>
      </c>
      <c r="G56" s="22" t="n"/>
    </row>
    <row r="57">
      <c r="B57" s="5" t="inlineStr">
        <is>
          <t>Laba kotor total 5 thn</t>
        </is>
      </c>
      <c r="C57" s="37">
        <f>D17+E32</f>
        <v/>
      </c>
      <c r="D57" s="37">
        <f>F50</f>
        <v/>
      </c>
      <c r="E57" s="23">
        <f>C57-D57</f>
        <v/>
      </c>
      <c r="F57" s="14" t="inlineStr">
        <is>
          <t>Harus sama secara total.</t>
        </is>
      </c>
      <c r="G57" s="22" t="n"/>
    </row>
    <row r="58">
      <c r="B58" s="5" t="inlineStr">
        <is>
          <t>Aset di neraca di akhir Tahun 1</t>
        </is>
      </c>
      <c r="C58" s="37">
        <f>0 (derecognized)</f>
        <v/>
      </c>
      <c r="D58" s="37">
        <f>G40</f>
        <v/>
      </c>
      <c r="E58" s="23">
        <f>C58-D58</f>
        <v/>
      </c>
      <c r="F58" s="14" t="inlineStr">
        <is>
          <t>Finance: aset keluar; op: tetap.</t>
        </is>
      </c>
      <c r="G58" s="22" t="n"/>
    </row>
  </sheetData>
  <mergeCells count="20">
    <mergeCell ref="B2:G2"/>
    <mergeCell ref="B14:G14"/>
    <mergeCell ref="F54:G54"/>
    <mergeCell ref="E15:G15"/>
    <mergeCell ref="B38:G38"/>
    <mergeCell ref="B34:G34"/>
    <mergeCell ref="F55:G55"/>
    <mergeCell ref="E36:G36"/>
    <mergeCell ref="E16:G16"/>
    <mergeCell ref="B20:G20"/>
    <mergeCell ref="B5:G5"/>
    <mergeCell ref="E18:G18"/>
    <mergeCell ref="F56:G56"/>
    <mergeCell ref="F58:G58"/>
    <mergeCell ref="B3:G3"/>
    <mergeCell ref="E17:G17"/>
    <mergeCell ref="E35:G35"/>
    <mergeCell ref="B52:G52"/>
    <mergeCell ref="F57:G57"/>
    <mergeCell ref="F53:G5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E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8" customWidth="1" min="2" max="2"/>
    <col width="18" customWidth="1" min="3" max="3"/>
    <col width="14" customWidth="1" min="4" max="4"/>
    <col width="54" customWidth="1" min="5" max="5"/>
  </cols>
  <sheetData>
    <row r="2" ht="28" customHeight="1">
      <c r="B2" s="1" t="inlineStr">
        <is>
          <t>CEK SILANG — KONSISTENSI MODEL</t>
        </is>
      </c>
    </row>
    <row r="3">
      <c r="B3" s="2" t="inlineStr">
        <is>
          <t>Setiap baris menguji satu invariant PSAK 73. Hijau = terpenuhi, Merah = cek input/formula.</t>
        </is>
      </c>
    </row>
    <row r="5" ht="22" customHeight="1">
      <c r="B5" s="9" t="inlineStr">
        <is>
          <t>Pengujian</t>
        </is>
      </c>
      <c r="C5" s="9" t="inlineStr">
        <is>
          <t>Nilai</t>
        </is>
      </c>
      <c r="D5" s="9" t="inlineStr">
        <is>
          <t>Status</t>
        </is>
      </c>
      <c r="E5" s="9" t="inlineStr">
        <is>
          <t>Catatan</t>
        </is>
      </c>
    </row>
    <row r="6">
      <c r="B6" s="5" t="inlineStr">
        <is>
          <t>Gedung: liability akhir Tahun 5 ~ 0</t>
        </is>
      </c>
      <c r="C6" s="38">
        <f>'3_LESSEE_GEDUNG'!G25</f>
        <v/>
      </c>
      <c r="D6" s="19">
        <f>IF(ABS(C6)&lt;1,"OK","CEK")</f>
        <v/>
      </c>
      <c r="E6" s="14" t="inlineStr">
        <is>
          <t>Annuity due -&gt; balance 0 di akhir tenor.</t>
        </is>
      </c>
    </row>
    <row r="7">
      <c r="B7" s="5" t="inlineStr">
        <is>
          <t>Gedung: Σ pokok = PV</t>
        </is>
      </c>
      <c r="C7" s="38">
        <f>'3_LESSEE_GEDUNG'!F26-PV_g</f>
        <v/>
      </c>
      <c r="D7" s="19">
        <f>IF(ABS(C7)&lt;1,"OK","CEK")</f>
        <v/>
      </c>
      <c r="E7" s="14" t="inlineStr">
        <is>
          <t>Σ principal = PV awal.</t>
        </is>
      </c>
    </row>
    <row r="8">
      <c r="B8" s="5" t="inlineStr">
        <is>
          <t>Gedung: Σ bunga = nominal - PV</t>
        </is>
      </c>
      <c r="C8" s="38">
        <f>'3_LESSEE_GEDUNG'!E26-(PMT_g*n_g-PV_g)</f>
        <v/>
      </c>
      <c r="D8" s="19">
        <f>IF(ABS(C8)&lt;1,"OK","CEK")</f>
        <v/>
      </c>
      <c r="E8" s="14" t="inlineStr">
        <is>
          <t>Bunga kumulatif rekonsiliasi.</t>
        </is>
      </c>
    </row>
    <row r="9">
      <c r="B9" s="5" t="inlineStr">
        <is>
          <t>Gedung: Σ depresiasi = ROU awal</t>
        </is>
      </c>
      <c r="C9" s="38">
        <f>'3_LESSEE_GEDUNG'!I26-PV_g</f>
        <v/>
      </c>
      <c r="D9" s="19">
        <f>IF(ABS(C9)&lt;1,"OK","CEK")</f>
        <v/>
      </c>
      <c r="E9" s="14" t="inlineStr">
        <is>
          <t>ROU habis terdepresiasi.</t>
        </is>
      </c>
    </row>
    <row r="10">
      <c r="B10" s="5" t="inlineStr">
        <is>
          <t>Gedung: Σ bunga + Σ depresiasi = nominal sewa</t>
        </is>
      </c>
      <c r="C10" s="38">
        <f>'3_LESSEE_GEDUNG'!E26+'3_LESSEE_GEDUNG'!I26-(PMT_g*n_g)</f>
        <v/>
      </c>
      <c r="D10" s="19">
        <f>IF(ABS(C10)&lt;1,"OK","CEK")</f>
        <v/>
      </c>
      <c r="E10" s="14" t="inlineStr">
        <is>
          <t>Total beban = kas dibayar (identik operasi lama).</t>
        </is>
      </c>
    </row>
    <row r="11">
      <c r="B11" s="5" t="inlineStr">
        <is>
          <t>Kendaraan: liability akhir Tahun 3 ~ 0</t>
        </is>
      </c>
      <c r="C11" s="38">
        <f>'4_LESSEE_KENDARAAN'!G18</f>
        <v/>
      </c>
      <c r="D11" s="19">
        <f>IF(ABS(C11)&lt;1,"OK","CEK")</f>
        <v/>
      </c>
      <c r="E11" s="14" t="inlineStr">
        <is>
          <t>Annuity due 3 thn.</t>
        </is>
      </c>
    </row>
    <row r="12">
      <c r="B12" s="5" t="inlineStr">
        <is>
          <t>Kendaraan: Σ pokok = PV</t>
        </is>
      </c>
      <c r="C12" s="38">
        <f>'4_LESSEE_KENDARAAN'!F26-PV_k</f>
        <v/>
      </c>
      <c r="D12" s="19">
        <f>IF(ABS(C12)&lt;1,"OK","CEK")</f>
        <v/>
      </c>
      <c r="E12" s="14" t="inlineStr">
        <is>
          <t>Σ principal = PV.</t>
        </is>
      </c>
    </row>
    <row r="13">
      <c r="B13" s="5" t="inlineStr">
        <is>
          <t>Kendaraan: Σ bunga = nominal - PV</t>
        </is>
      </c>
      <c r="C13" s="38">
        <f>'4_LESSEE_KENDARAAN'!E26-(PMT_k*n_k-PV_k)</f>
        <v/>
      </c>
      <c r="D13" s="19">
        <f>IF(ABS(C13)&lt;1,"OK","CEK")</f>
        <v/>
      </c>
      <c r="E13" s="14" t="inlineStr">
        <is>
          <t>Rekonsiliasi bunga.</t>
        </is>
      </c>
    </row>
    <row r="14">
      <c r="B14" s="5" t="inlineStr">
        <is>
          <t>Kendaraan: Σ depresiasi = ROU awal</t>
        </is>
      </c>
      <c r="C14" s="38">
        <f>'4_LESSEE_KENDARAAN'!I26-PV_k</f>
        <v/>
      </c>
      <c r="D14" s="19">
        <f>IF(ABS(C14)&lt;1,"OK","CEK")</f>
        <v/>
      </c>
      <c r="E14" s="14" t="inlineStr">
        <is>
          <t>ROU habis.</t>
        </is>
      </c>
    </row>
    <row r="15">
      <c r="B15" s="5" t="inlineStr">
        <is>
          <t>Lessor finance: Σ bunga = nominal - PV</t>
        </is>
      </c>
      <c r="C15" s="38">
        <f>'5_LESSOR'!E32-(PMT_g*n_g-PV_g)</f>
        <v/>
      </c>
      <c r="D15" s="19">
        <f>IF(ABS(C15)&lt;1,"OK","CEK")</f>
        <v/>
      </c>
      <c r="E15" s="14" t="inlineStr">
        <is>
          <t>EIR lessor = annuity due.</t>
        </is>
      </c>
    </row>
    <row r="16">
      <c r="B16" s="5" t="inlineStr">
        <is>
          <t>Lessor: laba hari-1 = PV - cost</t>
        </is>
      </c>
      <c r="C16" s="38">
        <f>'5_LESSOR'!D17-(PV_g-cost_g)</f>
        <v/>
      </c>
      <c r="D16" s="19">
        <f>IF(ABS(C16)&lt;1,"OK","CEK")</f>
        <v/>
      </c>
      <c r="E16" s="14" t="inlineStr">
        <is>
          <t>Manufacturer/dealer profit.</t>
        </is>
      </c>
    </row>
    <row r="17">
      <c r="B17" s="5" t="inlineStr">
        <is>
          <t>Lessor: total return 5 thn (finance) = nominal - cost</t>
        </is>
      </c>
      <c r="C17" s="38">
        <f>'5_LESSOR'!D17+'5_LESSOR'!E32-(PMT_g*n_g-cost_g)</f>
        <v/>
      </c>
      <c r="D17" s="19">
        <f>IF(ABS(C17)&lt;1,"OK","CEK")</f>
        <v/>
      </c>
      <c r="E17" s="14" t="inlineStr">
        <is>
          <t>Total return = nominal - cost.</t>
        </is>
      </c>
    </row>
    <row r="19">
      <c r="B19" s="39" t="inlineStr">
        <is>
          <t>Catatan: toleransi Rp 1 untuk pembulatan. Ubah input di sheet 1_INPUT dan lihat status re-evaluasi.</t>
        </is>
      </c>
    </row>
    <row r="20">
      <c r="B20" s="11" t="inlineStr">
        <is>
          <t>Semua angka berasal dari PSAK 73 par.9-100 (lessee) dan par.61-102 (lessor), setara IFRS 16.</t>
        </is>
      </c>
    </row>
  </sheetData>
  <mergeCells count="4">
    <mergeCell ref="B19:E19"/>
    <mergeCell ref="B3:E3"/>
    <mergeCell ref="B2:E2"/>
    <mergeCell ref="B20:E20"/>
  </mergeCells>
  <conditionalFormatting sqref="D6:D17">
    <cfRule type="expression" priority="1" dxfId="0">
      <formula>D6="OK"</formula>
    </cfRule>
    <cfRule type="expression" priority="2" dxfId="1">
      <formula>D6="CEK"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2026-07-18T17:34:21Z</dcterms:created>
  <dcterms:modified xmlns:dcterms="http://purl.org/dc/terms/" xmlns:xsi="http://www.w3.org/2001/XMLSchema-instance" xsi:type="dcterms:W3CDTF">2026-07-18T17:34:21Z</dcterms:modified>
</cp:coreProperties>
</file>