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MIDAS\OneDrive\Claude\Personal\atlas\05-Tech\stdsquare-hugo\static\excel\"/>
    </mc:Choice>
  </mc:AlternateContent>
  <xr:revisionPtr revIDLastSave="0" documentId="13_ncr:1_{17A5103C-1DD4-4848-A4BD-0005C2AB2756}" xr6:coauthVersionLast="47" xr6:coauthVersionMax="47" xr10:uidLastSave="{00000000-0000-0000-0000-000000000000}"/>
  <bookViews>
    <workbookView xWindow="-120" yWindow="-120" windowWidth="27240" windowHeight="16470" xr2:uid="{00000000-000D-0000-FFFF-FFFF00000000}"/>
  </bookViews>
  <sheets>
    <sheet name="PETUNJUK" sheetId="1" r:id="rId1"/>
    <sheet name="INPUT_SKU" sheetId="2" r:id="rId2"/>
    <sheet name="EOQ_CALCULATOR" sheetId="3" r:id="rId3"/>
    <sheet name="SAFETY_STOCK_ROP" sheetId="4" r:id="rId4"/>
    <sheet name="ABC_ANALYSIS" sheetId="5" r:id="rId5"/>
    <sheet name="CEK_KONSISTENSI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6" l="1"/>
  <c r="D10" i="6"/>
  <c r="D9" i="6"/>
  <c r="D8" i="6"/>
  <c r="E10" i="5"/>
  <c r="D10" i="5"/>
  <c r="C10" i="5"/>
  <c r="E9" i="5"/>
  <c r="D9" i="5"/>
  <c r="C9" i="5"/>
  <c r="E8" i="5"/>
  <c r="D8" i="5"/>
  <c r="C8" i="5"/>
  <c r="E7" i="5"/>
  <c r="D7" i="5"/>
  <c r="C7" i="5"/>
  <c r="F6" i="5"/>
  <c r="E6" i="5"/>
  <c r="D6" i="5"/>
  <c r="C6" i="5"/>
  <c r="H10" i="4"/>
  <c r="G10" i="4"/>
  <c r="F10" i="4"/>
  <c r="E10" i="4"/>
  <c r="D10" i="4"/>
  <c r="C10" i="4"/>
  <c r="H9" i="4"/>
  <c r="G9" i="4"/>
  <c r="F9" i="4"/>
  <c r="I9" i="4" s="1"/>
  <c r="K9" i="4" s="1"/>
  <c r="E9" i="4"/>
  <c r="D9" i="4"/>
  <c r="C9" i="4"/>
  <c r="H8" i="4"/>
  <c r="I8" i="4" s="1"/>
  <c r="K8" i="4" s="1"/>
  <c r="G8" i="4"/>
  <c r="F8" i="4"/>
  <c r="E8" i="4"/>
  <c r="D8" i="4"/>
  <c r="C8" i="4"/>
  <c r="H7" i="4"/>
  <c r="G7" i="4"/>
  <c r="F7" i="4"/>
  <c r="I7" i="4" s="1"/>
  <c r="K7" i="4" s="1"/>
  <c r="E7" i="4"/>
  <c r="D7" i="4"/>
  <c r="C7" i="4"/>
  <c r="H6" i="4"/>
  <c r="G6" i="4"/>
  <c r="F6" i="4"/>
  <c r="E6" i="4"/>
  <c r="D6" i="4"/>
  <c r="C6" i="4"/>
  <c r="E10" i="3"/>
  <c r="I10" i="3" s="1"/>
  <c r="D10" i="3"/>
  <c r="C10" i="3"/>
  <c r="E9" i="3"/>
  <c r="F9" i="3" s="1"/>
  <c r="D9" i="3"/>
  <c r="C9" i="3"/>
  <c r="E8" i="3"/>
  <c r="I8" i="3" s="1"/>
  <c r="D8" i="3"/>
  <c r="C8" i="3"/>
  <c r="E7" i="3"/>
  <c r="I7" i="3" s="1"/>
  <c r="D7" i="3"/>
  <c r="C7" i="3"/>
  <c r="E6" i="3"/>
  <c r="I6" i="3" s="1"/>
  <c r="D6" i="3"/>
  <c r="C6" i="3"/>
  <c r="I15" i="2"/>
  <c r="F10" i="5" s="1"/>
  <c r="I14" i="2"/>
  <c r="F9" i="5" s="1"/>
  <c r="I13" i="2"/>
  <c r="F8" i="5" s="1"/>
  <c r="I12" i="2"/>
  <c r="F7" i="5" s="1"/>
  <c r="I11" i="2"/>
  <c r="C16" i="6" l="1"/>
  <c r="C17" i="6"/>
  <c r="F8" i="3"/>
  <c r="H8" i="3" s="1"/>
  <c r="K8" i="3" s="1"/>
  <c r="I9" i="3"/>
  <c r="I11" i="3" s="1"/>
  <c r="I10" i="4"/>
  <c r="K10" i="4" s="1"/>
  <c r="F10" i="3"/>
  <c r="G10" i="3" s="1"/>
  <c r="F11" i="5"/>
  <c r="G9" i="3"/>
  <c r="H9" i="3"/>
  <c r="D6" i="6"/>
  <c r="F7" i="3"/>
  <c r="H10" i="3"/>
  <c r="I6" i="4"/>
  <c r="I16" i="2"/>
  <c r="F6" i="3"/>
  <c r="J8" i="3" l="1"/>
  <c r="L8" i="3" s="1"/>
  <c r="G8" i="3"/>
  <c r="C8" i="6"/>
  <c r="E8" i="6" s="1"/>
  <c r="F8" i="6" s="1"/>
  <c r="K6" i="4"/>
  <c r="C18" i="6"/>
  <c r="K10" i="3"/>
  <c r="J10" i="3"/>
  <c r="G7" i="3"/>
  <c r="H7" i="3"/>
  <c r="H6" i="5"/>
  <c r="H8" i="5"/>
  <c r="H10" i="5"/>
  <c r="C14" i="6"/>
  <c r="H6" i="3"/>
  <c r="G6" i="3"/>
  <c r="H7" i="5"/>
  <c r="H9" i="5"/>
  <c r="K9" i="3"/>
  <c r="J9" i="3"/>
  <c r="I10" i="5" l="1"/>
  <c r="J10" i="5" s="1"/>
  <c r="K10" i="5" s="1"/>
  <c r="I8" i="5"/>
  <c r="J8" i="5" s="1"/>
  <c r="K8" i="5" s="1"/>
  <c r="I6" i="5"/>
  <c r="J6" i="5" s="1"/>
  <c r="I7" i="5"/>
  <c r="J7" i="5" s="1"/>
  <c r="K7" i="5" s="1"/>
  <c r="I9" i="5"/>
  <c r="J9" i="5" s="1"/>
  <c r="K9" i="5" s="1"/>
  <c r="C10" i="6"/>
  <c r="E10" i="6" s="1"/>
  <c r="F10" i="6" s="1"/>
  <c r="K7" i="3"/>
  <c r="J7" i="3"/>
  <c r="L10" i="3"/>
  <c r="J6" i="3"/>
  <c r="J11" i="3" s="1"/>
  <c r="K6" i="3"/>
  <c r="H11" i="3"/>
  <c r="C6" i="6"/>
  <c r="E6" i="6" s="1"/>
  <c r="F6" i="6" s="1"/>
  <c r="L9" i="3"/>
  <c r="L6" i="3" l="1"/>
  <c r="K11" i="3"/>
  <c r="L7" i="3"/>
  <c r="C13" i="6"/>
  <c r="C7" i="6"/>
  <c r="C15" i="5"/>
  <c r="C14" i="5"/>
  <c r="E14" i="5"/>
  <c r="K6" i="5"/>
  <c r="C9" i="6"/>
  <c r="E9" i="6" s="1"/>
  <c r="F9" i="6" s="1"/>
  <c r="E15" i="5"/>
  <c r="E16" i="5"/>
  <c r="C16" i="5"/>
  <c r="H16" i="5"/>
  <c r="C19" i="6"/>
  <c r="H14" i="5"/>
  <c r="H15" i="5"/>
  <c r="D7" i="6" l="1"/>
  <c r="E7" i="6" s="1"/>
  <c r="F7" i="6" s="1"/>
  <c r="L11" i="3"/>
</calcChain>
</file>

<file path=xl/sharedStrings.xml><?xml version="1.0" encoding="utf-8"?>
<sst xmlns="http://schemas.openxmlformats.org/spreadsheetml/2006/main" count="148" uniqueCount="136">
  <si>
    <t>MANAJEMEN PERSEDIAAN — EOQ · SAFETY STOCK · REORDER POINT</t>
  </si>
  <si>
    <t>Toko Elektronik Mitra Jaya · Surabaya · 5 SKU · (format angka Rp)</t>
  </si>
  <si>
    <t>PAKAI CARA INI:</t>
  </si>
  <si>
    <t>1. INPUT_SKU</t>
  </si>
  <si>
    <t>Isi sel BIRU: nama SKU, harga beli/unit, permintaan tahunan (D), rata-rata &amp; simpangan baku permintaan mingguan, lead time (L).</t>
  </si>
  <si>
    <t>2. EOQ_CALCULATOR</t>
  </si>
  <si>
    <t>Otomatis: EOQ = √(2DS/H), H = % × harga/unit. Jumlah pemesanan/tahun &amp; total biaya (ordering + holding) dibandingkan vs kuantitas pesan bebas.</t>
  </si>
  <si>
    <t>3. SAFETY_STOCK_ROP</t>
  </si>
  <si>
    <t>Isi Z (service level). Safety Stock = Z × σ × √L. Reorder Point = (permintaan rata-rata × L) + SS. Otomatis per SKU.</t>
  </si>
  <si>
    <t>4. ABC_ANALYSIS</t>
  </si>
  <si>
    <t>Pareto berdasarkan nilai pemakaian tahunan (D × harga). Manual rank di kolom Rank; kelas A/B/C otomatis lewat ambang kumulatif.</t>
  </si>
  <si>
    <t>5. CEK_KONSISTENSI</t>
  </si>
  <si>
    <t>Tes otomatis: EOQ menghasilkan biaya minimum; ROP &gt; Safety Stock; total kelas ABC = 100%; total biaya EOQ konsisten.</t>
  </si>
  <si>
    <t>LEGENDA WARNA:</t>
  </si>
  <si>
    <t>Input manual</t>
  </si>
  <si>
    <t>Sel biru = Anda ubah. Contoh: harga unit, permintaan, lead time, Z.</t>
  </si>
  <si>
    <t>Formula hidup</t>
  </si>
  <si>
    <t>Sel hitam = dihitung otomatis. Jangan diketik ulang.</t>
  </si>
  <si>
    <t>Header / total</t>
  </si>
  <si>
    <t>Sel hijau band = sub-judul; sel kuning = total penting (EOQ, ROP).</t>
  </si>
  <si>
    <t>RUMUS KUNCI:</t>
  </si>
  <si>
    <t>• EOQ (Wilson/Harris):  Q* = √(2 × D × S / H)   dengan H = i × C  (i = biaya penyimpanan %, C = harga/unit)</t>
  </si>
  <si>
    <t>• Safety Stock:         SS = Z × σ × √L          (Z dari service level, σ = std dev permintaan, L = lead time)</t>
  </si>
  <si>
    <t>• Reorder Point:        ROP = (d̄ × L) + SS        (d̄ = rata-rata permintaan periode, L dalam periode sama)</t>
  </si>
  <si>
    <t>• Total biaya persediaan: TC = (D/Q)×S + (Q/2)×H   (EOQ meminimumkan TC)</t>
  </si>
  <si>
    <t>• ABC Analysis:         urutkan nilai pemakaian menurun; A ≈ 70-80% nilai; B ≈ 15-20%; C ≈ 5-10%</t>
  </si>
  <si>
    <t>Referensi: Wilson (1913); Silver, Pyke &amp; Thomas (2016); PSAK 14 (Persediaan).</t>
  </si>
  <si>
    <t>DATA MASTER 5 SKU — Toko Elektronik Mitra Jaya</t>
  </si>
  <si>
    <t>Sel BIRU = input manual · S (biaya pemesanan/order) &amp; i (biaya penyimpanan) di parameter global di bawah</t>
  </si>
  <si>
    <t>PARAMETER GLOBAL</t>
  </si>
  <si>
    <t>S (biaya pemesanan/order)</t>
  </si>
  <si>
    <t>Administrasi + ongkir + inspeksi pemasok (input)</t>
  </si>
  <si>
    <t>i (biaya penyimpanan / tahun, % harga)</t>
  </si>
  <si>
    <t>Modal terikat + gudang + asuransi + penyusutan (input)</t>
  </si>
  <si>
    <t>Z (service level → safety factor)</t>
  </si>
  <si>
    <t>1.645 = 95% service level (normal). 2.326 = 99%. 1.282 = 90%.</t>
  </si>
  <si>
    <t>#</t>
  </si>
  <si>
    <t>SKU</t>
  </si>
  <si>
    <t>Harga Beli/unit (C)</t>
  </si>
  <si>
    <t>Permintaan Thn (D)</t>
  </si>
  <si>
    <t>Rata2 Mgg (d̄)</t>
  </si>
  <si>
    <t>Std Dev Mgg (σ)</t>
  </si>
  <si>
    <t>Lead Time (L, mgg)</t>
  </si>
  <si>
    <t>Nilai Pakai Thn (D×C)</t>
  </si>
  <si>
    <t>Catatan</t>
  </si>
  <si>
    <t>LED TV 43"</t>
  </si>
  <si>
    <t>Margin tinggi, volume sedang</t>
  </si>
  <si>
    <t>Kulkas 2 Pintu</t>
  </si>
  <si>
    <t>Premium, lead time lebih lama</t>
  </si>
  <si>
    <t>Mesin Cuci</t>
  </si>
  <si>
    <t>Kategori matang</t>
  </si>
  <si>
    <t>Speaker Bluetooth</t>
  </si>
  <si>
    <t>Aksesori, rotasi cepat</t>
  </si>
  <si>
    <t>Kabel HDMI</t>
  </si>
  <si>
    <t>Volume tinggi, nilai rendah</t>
  </si>
  <si>
    <t>TOTAL</t>
  </si>
  <si>
    <t>Nilai pemakaian tahunan seluruh SKU</t>
  </si>
  <si>
    <t>EOQ CALCULATOR — Q* = √(2DS/H)</t>
  </si>
  <si>
    <t>H = i × C · S &amp; i dari INPUT_SKU · Hitam = formula hidup</t>
  </si>
  <si>
    <t>H (penyimp/thn)</t>
  </si>
  <si>
    <t>EOQ (Q*)</t>
  </si>
  <si>
    <t>Pesan/thn</t>
  </si>
  <si>
    <t>Siklus (hr)</t>
  </si>
  <si>
    <t>Biaya Pesan/thn</t>
  </si>
  <si>
    <t>Biaya Simpan/thn</t>
  </si>
  <si>
    <t>Total Biaya EOQ</t>
  </si>
  <si>
    <t>Biaya Q=1×EOQ</t>
  </si>
  <si>
    <t>Selisih vs EOQ</t>
  </si>
  <si>
    <t>TOTAL KESELURUHAN</t>
  </si>
  <si>
    <t>INSIGHT — biaya pemesanan = biaya penyimpanan saat EOQ (syarat minimum)</t>
  </si>
  <si>
    <t>Pada Q = EOQ, kolom H (biaya pesan/thn) ≈ kolom I (biaya simpan/thn) untuk tiap SKU. Inilah jaminan matematis: titik minimum TC terjadi ketika kedua biaya sama.</t>
  </si>
  <si>
    <t>SAFETY STOCK &amp; REORDER POINT</t>
  </si>
  <si>
    <t>SS = Z × σ × √L  ·  ROP = (d̄ × L) + SS  ·  Z dari INPUT_SKU (default 1.645 = 95%)</t>
  </si>
  <si>
    <t>L (mgg)</t>
  </si>
  <si>
    <t>Z</t>
  </si>
  <si>
    <t>Permintaan selama L</t>
  </si>
  <si>
    <t>σ selama L (σ√L)</t>
  </si>
  <si>
    <t>Safety Stock</t>
  </si>
  <si>
    <t>Reorder Point</t>
  </si>
  <si>
    <t>Stok Saat Ini</t>
  </si>
  <si>
    <t>Status</t>
  </si>
  <si>
    <t>PANDUAN SERVICE LEVEL (Z)</t>
  </si>
  <si>
    <t>90% (Z = 1.282)</t>
  </si>
  <si>
    <t>Stockout diizinkan 1 dari 10 siklus pesan — cocok untuk SKU non-kritis (kelas C).</t>
  </si>
  <si>
    <t>95% (Z = 1.645)</t>
  </si>
  <si>
    <t>Default. Stockout 1 dari 20 siklus. Seimbang antara modal &amp; risiko kehilangan penjualan.</t>
  </si>
  <si>
    <t>99% (Z = 2.326)</t>
  </si>
  <si>
    <t>Stockout 1 dari 100. Untuk SKU kritis (kelas A) atau kontrak SLA pelanggan.</t>
  </si>
  <si>
    <t>99.9% (Z = 3.090)</t>
  </si>
  <si>
    <t xml:space="preserve"> Hampir tidak pernah kosong — wajib untuk komponen kritikal produksi / spare mesin.</t>
  </si>
  <si>
    <t>ABC ANALYSIS — KLASIFIKASI PARETO</t>
  </si>
  <si>
    <t>Rank 1 = nilai pakai tahunan tertinggi. Kelas A (kumulatif ≤80%), B (80-95%), C (&gt;95%).</t>
  </si>
  <si>
    <t>Harga/unit (C)</t>
  </si>
  <si>
    <t>Permintaan (D)</t>
  </si>
  <si>
    <t>Nilai Pakai (D×C)</t>
  </si>
  <si>
    <t>Rank</t>
  </si>
  <si>
    <t>% Nilai</t>
  </si>
  <si>
    <t>Kumulatif %</t>
  </si>
  <si>
    <t>Kelas</t>
  </si>
  <si>
    <t>Strategi</t>
  </si>
  <si>
    <t>RINGKASAN KELAS (default data)</t>
  </si>
  <si>
    <t>Kelas A</t>
  </si>
  <si>
    <t>Nilai pakai:</t>
  </si>
  <si>
    <t>% nilai:</t>
  </si>
  <si>
    <t>Sedikit SKU, dominan nilai (Pareto 80/20)</t>
  </si>
  <si>
    <t>Kelas B</t>
  </si>
  <si>
    <t>Menengah</t>
  </si>
  <si>
    <t>Kelas C</t>
  </si>
  <si>
    <t>Banyak SKU, nilai kecil</t>
  </si>
  <si>
    <t>CEK KONSISTENSI — LIMA TES OTOMATIS</t>
  </si>
  <si>
    <t>Jika semua tes ✓ LULUS, model konsisten. Ubah input → tes re-evaluate otomatis.</t>
  </si>
  <si>
    <t>Tes</t>
  </si>
  <si>
    <t>Angka A</t>
  </si>
  <si>
    <t>Angka B</t>
  </si>
  <si>
    <t>Selisih</t>
  </si>
  <si>
    <t>Verdict</t>
  </si>
  <si>
    <t>1. EOQ: total biaya pesan/thn = total biaya simpan/thn (syarat minimum TC)</t>
  </si>
  <si>
    <t>2. Total biaya EOQ = Total biaya pada Q = EOQ (verifikasi titik minimum)</t>
  </si>
  <si>
    <t>3. Semua ROP &gt; Safety Stock (ROP = demand-L + SS)</t>
  </si>
  <si>
    <t>4. Jumlah SKU terklasifikasi = 5 (tidak ada yang lolos klasifikasi)</t>
  </si>
  <si>
    <t>5. Total % nilai semua kelas ABC = 100%</t>
  </si>
  <si>
    <t>RINGKASAN MANAJEMEN PERSEDIAAN</t>
  </si>
  <si>
    <t>Total biaya persediaan (EOQ, per tahun)</t>
  </si>
  <si>
    <t>Biaya pemesanan + penyimpanan seluruh 5 SKU pada order size optimal</t>
  </si>
  <si>
    <t>Jumlah siklus pemesanan/tahun (semua SKU)</t>
  </si>
  <si>
    <t>Frekuensi PO yang dikelola tim pembelian per tahun</t>
  </si>
  <si>
    <t>Rata-rata service level (Z)</t>
  </si>
  <si>
    <t>1.645 = 95% default. Naikkan ke 2.326 untuk 99% (biaya SS naik ~41%)</t>
  </si>
  <si>
    <t>Total Safety Stock (unit, semua SKU)</t>
  </si>
  <si>
    <t>Buffer terhadap permintaan tak terduga selama lead time</t>
  </si>
  <si>
    <t>Nilai Safety Stock (Rp)</t>
  </si>
  <si>
    <t>Modal terikat di buffer stok pengaman</t>
  </si>
  <si>
    <t>Nilai pemakaian tahunan (semua SKU)</t>
  </si>
  <si>
    <t>Dasar klasifikasi ABC — value flow persediaan</t>
  </si>
  <si>
    <t>Kelas A: jumlah SKU + % nilai</t>
  </si>
  <si>
    <t>Pareto: sedikit SKU, dominan modal — wajib kontrol ketat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</si>
</sst>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p&quot;#,##0"/>
    <numFmt numFmtId="165" formatCode="0.0%"/>
    <numFmt numFmtId="166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i/>
      <sz val="10"/>
      <color rgb="FF555555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1F4E79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C853"/>
      </patternFill>
    </fill>
    <fill>
      <patternFill patternType="solid">
        <fgColor rgb="FFE8F5E9"/>
      </patternFill>
    </fill>
    <fill>
      <patternFill patternType="solid">
        <fgColor rgb="FFF5F5F5"/>
      </patternFill>
    </fill>
    <fill>
      <patternFill patternType="solid">
        <fgColor rgb="FFFFF59D"/>
      </patternFill>
    </fill>
    <fill>
      <patternFill patternType="solid">
        <fgColor rgb="FFFFCDD2"/>
      </patternFill>
    </fill>
    <fill>
      <patternFill patternType="solid">
        <fgColor rgb="FFC8E6C9"/>
      </patternFill>
    </fill>
  </fills>
  <borders count="2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3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/>
    <xf numFmtId="164" fontId="5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5" borderId="0" xfId="0" applyFont="1" applyFill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164" fontId="3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 wrapText="1"/>
    </xf>
    <xf numFmtId="166" fontId="3" fillId="5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right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4"/>
  <sheetViews>
    <sheetView showGridLines="0" tabSelected="1" workbookViewId="0"/>
  </sheetViews>
  <sheetFormatPr defaultRowHeight="15" x14ac:dyDescent="0.25"/>
  <cols>
    <col min="1" max="1" width="3" customWidth="1"/>
    <col min="2" max="2" width="28" customWidth="1"/>
    <col min="3" max="3" width="80" customWidth="1"/>
  </cols>
  <sheetData>
    <row r="2" spans="2:3" ht="30" customHeight="1" x14ac:dyDescent="0.25">
      <c r="B2" s="38" t="s">
        <v>0</v>
      </c>
      <c r="C2" s="37"/>
    </row>
    <row r="3" spans="2:3" x14ac:dyDescent="0.25">
      <c r="B3" s="40" t="s">
        <v>1</v>
      </c>
      <c r="C3" s="37"/>
    </row>
    <row r="5" spans="2:3" x14ac:dyDescent="0.25">
      <c r="B5" s="1" t="s">
        <v>2</v>
      </c>
    </row>
    <row r="6" spans="2:3" ht="30" x14ac:dyDescent="0.25">
      <c r="B6" s="2" t="s">
        <v>3</v>
      </c>
      <c r="C6" s="3" t="s">
        <v>4</v>
      </c>
    </row>
    <row r="7" spans="2:3" ht="30" x14ac:dyDescent="0.25">
      <c r="B7" s="2" t="s">
        <v>5</v>
      </c>
      <c r="C7" s="3" t="s">
        <v>6</v>
      </c>
    </row>
    <row r="8" spans="2:3" ht="30" x14ac:dyDescent="0.25">
      <c r="B8" s="2" t="s">
        <v>7</v>
      </c>
      <c r="C8" s="3" t="s">
        <v>8</v>
      </c>
    </row>
    <row r="9" spans="2:3" ht="30" x14ac:dyDescent="0.25">
      <c r="B9" s="2" t="s">
        <v>9</v>
      </c>
      <c r="C9" s="3" t="s">
        <v>10</v>
      </c>
    </row>
    <row r="10" spans="2:3" ht="30" x14ac:dyDescent="0.25">
      <c r="B10" s="2" t="s">
        <v>11</v>
      </c>
      <c r="C10" s="3" t="s">
        <v>12</v>
      </c>
    </row>
    <row r="12" spans="2:3" x14ac:dyDescent="0.25">
      <c r="B12" s="4" t="s">
        <v>13</v>
      </c>
    </row>
    <row r="13" spans="2:3" x14ac:dyDescent="0.25">
      <c r="B13" s="5" t="s">
        <v>14</v>
      </c>
      <c r="C13" s="3" t="s">
        <v>15</v>
      </c>
    </row>
    <row r="14" spans="2:3" x14ac:dyDescent="0.25">
      <c r="B14" s="3" t="s">
        <v>16</v>
      </c>
      <c r="C14" s="3" t="s">
        <v>17</v>
      </c>
    </row>
    <row r="15" spans="2:3" x14ac:dyDescent="0.25">
      <c r="B15" s="6" t="s">
        <v>18</v>
      </c>
      <c r="C15" s="3" t="s">
        <v>19</v>
      </c>
    </row>
    <row r="17" spans="2:3" x14ac:dyDescent="0.25">
      <c r="B17" s="4" t="s">
        <v>20</v>
      </c>
    </row>
    <row r="18" spans="2:3" x14ac:dyDescent="0.25">
      <c r="B18" s="36" t="s">
        <v>21</v>
      </c>
      <c r="C18" s="37"/>
    </row>
    <row r="19" spans="2:3" x14ac:dyDescent="0.25">
      <c r="B19" s="36" t="s">
        <v>22</v>
      </c>
      <c r="C19" s="37"/>
    </row>
    <row r="20" spans="2:3" x14ac:dyDescent="0.25">
      <c r="B20" s="36" t="s">
        <v>23</v>
      </c>
      <c r="C20" s="37"/>
    </row>
    <row r="21" spans="2:3" x14ac:dyDescent="0.25">
      <c r="B21" s="36" t="s">
        <v>24</v>
      </c>
      <c r="C21" s="37"/>
    </row>
    <row r="22" spans="2:3" x14ac:dyDescent="0.25">
      <c r="B22" s="36" t="s">
        <v>25</v>
      </c>
      <c r="C22" s="37"/>
    </row>
    <row r="24" spans="2:3" x14ac:dyDescent="0.25">
      <c r="B24" s="39" t="s">
        <v>26</v>
      </c>
      <c r="C24" s="37"/>
    </row>
  </sheetData>
  <mergeCells count="8">
    <mergeCell ref="B21:C21"/>
    <mergeCell ref="B2:C2"/>
    <mergeCell ref="B24:C24"/>
    <mergeCell ref="B3:C3"/>
    <mergeCell ref="B19:C19"/>
    <mergeCell ref="B20:C20"/>
    <mergeCell ref="B22:C22"/>
    <mergeCell ref="B18:C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6"/>
  <sheetViews>
    <sheetView showGridLines="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6" customWidth="1"/>
    <col min="3" max="3" width="22" customWidth="1"/>
    <col min="4" max="4" width="14" customWidth="1"/>
    <col min="5" max="5" width="13" customWidth="1"/>
    <col min="6" max="6" width="14" customWidth="1"/>
    <col min="7" max="7" width="13" customWidth="1"/>
    <col min="8" max="8" width="11" customWidth="1"/>
    <col min="9" max="9" width="13" customWidth="1"/>
    <col min="10" max="10" width="28" customWidth="1"/>
  </cols>
  <sheetData>
    <row r="2" spans="2:10" ht="26.1" customHeight="1" x14ac:dyDescent="0.25">
      <c r="B2" s="38" t="s">
        <v>27</v>
      </c>
      <c r="C2" s="37"/>
      <c r="D2" s="37"/>
      <c r="E2" s="37"/>
      <c r="F2" s="37"/>
      <c r="G2" s="37"/>
      <c r="H2" s="37"/>
      <c r="I2" s="37"/>
      <c r="J2" s="37"/>
    </row>
    <row r="3" spans="2:10" x14ac:dyDescent="0.25">
      <c r="B3" s="40" t="s">
        <v>28</v>
      </c>
      <c r="C3" s="37"/>
      <c r="D3" s="37"/>
      <c r="E3" s="37"/>
      <c r="F3" s="37"/>
      <c r="G3" s="37"/>
      <c r="H3" s="37"/>
      <c r="I3" s="37"/>
      <c r="J3" s="37"/>
    </row>
    <row r="5" spans="2:10" ht="75" x14ac:dyDescent="0.25">
      <c r="B5" s="8" t="s">
        <v>29</v>
      </c>
      <c r="C5" s="9"/>
      <c r="D5" s="9"/>
      <c r="E5" s="9"/>
      <c r="F5" s="9"/>
      <c r="G5" s="9"/>
      <c r="H5" s="9"/>
      <c r="I5" s="9"/>
      <c r="J5" s="9"/>
    </row>
    <row r="6" spans="2:10" ht="105" x14ac:dyDescent="0.25">
      <c r="B6" s="3" t="s">
        <v>30</v>
      </c>
      <c r="C6" s="10">
        <v>100000</v>
      </c>
      <c r="D6" s="41" t="s">
        <v>31</v>
      </c>
      <c r="E6" s="37"/>
      <c r="F6" s="37"/>
      <c r="G6" s="37"/>
      <c r="H6" s="37"/>
      <c r="I6" s="37"/>
      <c r="J6" s="37"/>
    </row>
    <row r="7" spans="2:10" ht="150" x14ac:dyDescent="0.25">
      <c r="B7" s="3" t="s">
        <v>32</v>
      </c>
      <c r="C7" s="12">
        <v>0.2</v>
      </c>
      <c r="D7" s="41" t="s">
        <v>33</v>
      </c>
      <c r="E7" s="37"/>
      <c r="F7" s="37"/>
      <c r="G7" s="37"/>
      <c r="H7" s="37"/>
      <c r="I7" s="37"/>
      <c r="J7" s="37"/>
    </row>
    <row r="8" spans="2:10" ht="135" x14ac:dyDescent="0.25">
      <c r="B8" s="3" t="s">
        <v>34</v>
      </c>
      <c r="C8" s="13">
        <v>1.645</v>
      </c>
      <c r="D8" s="41" t="s">
        <v>35</v>
      </c>
      <c r="E8" s="37"/>
      <c r="F8" s="37"/>
      <c r="G8" s="37"/>
      <c r="H8" s="37"/>
      <c r="I8" s="37"/>
      <c r="J8" s="37"/>
    </row>
    <row r="10" spans="2:10" ht="33.950000000000003" customHeight="1" x14ac:dyDescent="0.25">
      <c r="B10" s="6" t="s">
        <v>36</v>
      </c>
      <c r="C10" s="6" t="s">
        <v>37</v>
      </c>
      <c r="D10" s="6" t="s">
        <v>38</v>
      </c>
      <c r="E10" s="6" t="s">
        <v>39</v>
      </c>
      <c r="F10" s="6" t="s">
        <v>40</v>
      </c>
      <c r="G10" s="6" t="s">
        <v>41</v>
      </c>
      <c r="H10" s="6" t="s">
        <v>42</v>
      </c>
      <c r="I10" s="6" t="s">
        <v>43</v>
      </c>
      <c r="J10" s="6" t="s">
        <v>44</v>
      </c>
    </row>
    <row r="11" spans="2:10" x14ac:dyDescent="0.25">
      <c r="B11" s="14">
        <v>1</v>
      </c>
      <c r="C11" s="15" t="s">
        <v>45</v>
      </c>
      <c r="D11" s="10">
        <v>2500000</v>
      </c>
      <c r="E11" s="16">
        <v>1200</v>
      </c>
      <c r="F11" s="13">
        <v>23.08</v>
      </c>
      <c r="G11" s="13">
        <v>6</v>
      </c>
      <c r="H11" s="16">
        <v>2</v>
      </c>
      <c r="I11" s="17">
        <f>D11*E11</f>
        <v>3000000000</v>
      </c>
      <c r="J11" s="11" t="s">
        <v>46</v>
      </c>
    </row>
    <row r="12" spans="2:10" x14ac:dyDescent="0.25">
      <c r="B12" s="14">
        <v>2</v>
      </c>
      <c r="C12" s="15" t="s">
        <v>47</v>
      </c>
      <c r="D12" s="10">
        <v>3500000</v>
      </c>
      <c r="E12" s="16">
        <v>600</v>
      </c>
      <c r="F12" s="13">
        <v>11.54</v>
      </c>
      <c r="G12" s="13">
        <v>3.5</v>
      </c>
      <c r="H12" s="16">
        <v>3</v>
      </c>
      <c r="I12" s="17">
        <f>D12*E12</f>
        <v>2100000000</v>
      </c>
      <c r="J12" s="11" t="s">
        <v>48</v>
      </c>
    </row>
    <row r="13" spans="2:10" x14ac:dyDescent="0.25">
      <c r="B13" s="14">
        <v>3</v>
      </c>
      <c r="C13" s="15" t="s">
        <v>49</v>
      </c>
      <c r="D13" s="10">
        <v>2800000</v>
      </c>
      <c r="E13" s="16">
        <v>480</v>
      </c>
      <c r="F13" s="13">
        <v>9.23</v>
      </c>
      <c r="G13" s="13">
        <v>3</v>
      </c>
      <c r="H13" s="16">
        <v>3</v>
      </c>
      <c r="I13" s="17">
        <f>D13*E13</f>
        <v>1344000000</v>
      </c>
      <c r="J13" s="11" t="s">
        <v>50</v>
      </c>
    </row>
    <row r="14" spans="2:10" x14ac:dyDescent="0.25">
      <c r="B14" s="14">
        <v>4</v>
      </c>
      <c r="C14" s="15" t="s">
        <v>51</v>
      </c>
      <c r="D14" s="10">
        <v>350000</v>
      </c>
      <c r="E14" s="16">
        <v>2400</v>
      </c>
      <c r="F14" s="13">
        <v>46.15</v>
      </c>
      <c r="G14" s="13">
        <v>12</v>
      </c>
      <c r="H14" s="16">
        <v>1</v>
      </c>
      <c r="I14" s="17">
        <f>D14*E14</f>
        <v>840000000</v>
      </c>
      <c r="J14" s="11" t="s">
        <v>52</v>
      </c>
    </row>
    <row r="15" spans="2:10" x14ac:dyDescent="0.25">
      <c r="B15" s="14">
        <v>5</v>
      </c>
      <c r="C15" s="15" t="s">
        <v>53</v>
      </c>
      <c r="D15" s="10">
        <v>45000</v>
      </c>
      <c r="E15" s="16">
        <v>4800</v>
      </c>
      <c r="F15" s="13">
        <v>92.31</v>
      </c>
      <c r="G15" s="13">
        <v>25</v>
      </c>
      <c r="H15" s="16">
        <v>1</v>
      </c>
      <c r="I15" s="17">
        <f>D15*E15</f>
        <v>216000000</v>
      </c>
      <c r="J15" s="11" t="s">
        <v>54</v>
      </c>
    </row>
    <row r="16" spans="2:10" ht="25.5" x14ac:dyDescent="0.25">
      <c r="B16" s="18"/>
      <c r="C16" s="19" t="s">
        <v>55</v>
      </c>
      <c r="D16" s="20"/>
      <c r="E16" s="20"/>
      <c r="F16" s="20"/>
      <c r="G16" s="20"/>
      <c r="H16" s="20"/>
      <c r="I16" s="21">
        <f>SUM(I11:I15)</f>
        <v>7500000000</v>
      </c>
      <c r="J16" s="22" t="s">
        <v>56</v>
      </c>
    </row>
  </sheetData>
  <mergeCells count="5">
    <mergeCell ref="B3:J3"/>
    <mergeCell ref="D7:J7"/>
    <mergeCell ref="D8:J8"/>
    <mergeCell ref="D6:J6"/>
    <mergeCell ref="B2:J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14"/>
  <sheetViews>
    <sheetView showGridLines="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6" customWidth="1"/>
    <col min="3" max="3" width="22" customWidth="1"/>
    <col min="4" max="4" width="13" customWidth="1"/>
    <col min="5" max="6" width="11" customWidth="1"/>
    <col min="7" max="7" width="12" customWidth="1"/>
    <col min="8" max="11" width="14" customWidth="1"/>
    <col min="12" max="12" width="13" customWidth="1"/>
  </cols>
  <sheetData>
    <row r="2" spans="2:12" ht="26.1" customHeight="1" x14ac:dyDescent="0.25">
      <c r="B2" s="38" t="s">
        <v>57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2:12" x14ac:dyDescent="0.25">
      <c r="B3" s="40" t="s">
        <v>58</v>
      </c>
      <c r="C3" s="37"/>
      <c r="D3" s="37"/>
      <c r="E3" s="37"/>
      <c r="F3" s="37"/>
      <c r="G3" s="37"/>
      <c r="H3" s="37"/>
      <c r="I3" s="37"/>
      <c r="J3" s="37"/>
      <c r="K3" s="37"/>
      <c r="L3" s="37"/>
    </row>
    <row r="5" spans="2:12" ht="33.950000000000003" customHeight="1" x14ac:dyDescent="0.25">
      <c r="B5" s="6" t="s">
        <v>36</v>
      </c>
      <c r="C5" s="6" t="s">
        <v>37</v>
      </c>
      <c r="D5" s="6" t="s">
        <v>59</v>
      </c>
      <c r="E5" s="6" t="s">
        <v>60</v>
      </c>
      <c r="F5" s="6" t="s">
        <v>61</v>
      </c>
      <c r="G5" s="6" t="s">
        <v>62</v>
      </c>
      <c r="H5" s="6" t="s">
        <v>63</v>
      </c>
      <c r="I5" s="6" t="s">
        <v>64</v>
      </c>
      <c r="J5" s="6" t="s">
        <v>65</v>
      </c>
      <c r="K5" s="6" t="s">
        <v>66</v>
      </c>
      <c r="L5" s="6" t="s">
        <v>67</v>
      </c>
    </row>
    <row r="6" spans="2:12" x14ac:dyDescent="0.25">
      <c r="B6" s="14">
        <v>1</v>
      </c>
      <c r="C6" s="3" t="str">
        <f>INPUT_SKU!C11</f>
        <v>LED TV 43"</v>
      </c>
      <c r="D6" s="17">
        <f>(INPUT_SKU!$C$7*INPUT_SKU!D11)</f>
        <v>500000</v>
      </c>
      <c r="E6" s="23">
        <f>SQRT(2*INPUT_SKU!E11*INPUT_SKU!$C$6/(INPUT_SKU!$C$7*INPUT_SKU!D11))</f>
        <v>21.908902300206645</v>
      </c>
      <c r="F6" s="24">
        <f>INPUT_SKU!E11/E6</f>
        <v>54.772255750516614</v>
      </c>
      <c r="G6" s="24">
        <f>365/F6</f>
        <v>6.6639577829795211</v>
      </c>
      <c r="H6" s="17">
        <f>F6*INPUT_SKU!$C$6</f>
        <v>5477225.5750516616</v>
      </c>
      <c r="I6" s="17">
        <f>(E6/2)*(INPUT_SKU!$C$7*INPUT_SKU!D11)</f>
        <v>5477225.5750516616</v>
      </c>
      <c r="J6" s="21">
        <f>H6+I6</f>
        <v>10954451.150103323</v>
      </c>
      <c r="K6" s="17">
        <f>(H6+I6)</f>
        <v>10954451.150103323</v>
      </c>
      <c r="L6" s="17">
        <f t="shared" ref="L6:L11" si="0">K6-J6</f>
        <v>0</v>
      </c>
    </row>
    <row r="7" spans="2:12" x14ac:dyDescent="0.25">
      <c r="B7" s="14">
        <v>2</v>
      </c>
      <c r="C7" s="3" t="str">
        <f>INPUT_SKU!C12</f>
        <v>Kulkas 2 Pintu</v>
      </c>
      <c r="D7" s="17">
        <f>(INPUT_SKU!$C$7*INPUT_SKU!D12)</f>
        <v>700000</v>
      </c>
      <c r="E7" s="23">
        <f>SQRT(2*INPUT_SKU!E12*INPUT_SKU!$C$6/(INPUT_SKU!$C$7*INPUT_SKU!D12))</f>
        <v>13.093073414159543</v>
      </c>
      <c r="F7" s="24">
        <f>INPUT_SKU!E12/E7</f>
        <v>45.825756949558404</v>
      </c>
      <c r="G7" s="24">
        <f>365/F7</f>
        <v>7.9649529936137213</v>
      </c>
      <c r="H7" s="17">
        <f>F7*INPUT_SKU!$C$6</f>
        <v>4582575.6949558407</v>
      </c>
      <c r="I7" s="17">
        <f>(E7/2)*(INPUT_SKU!$C$7*INPUT_SKU!D12)</f>
        <v>4582575.6949558398</v>
      </c>
      <c r="J7" s="21">
        <f>H7+I7</f>
        <v>9165151.3899116814</v>
      </c>
      <c r="K7" s="17">
        <f>(H7+I7)</f>
        <v>9165151.3899116814</v>
      </c>
      <c r="L7" s="17">
        <f t="shared" si="0"/>
        <v>0</v>
      </c>
    </row>
    <row r="8" spans="2:12" x14ac:dyDescent="0.25">
      <c r="B8" s="14">
        <v>3</v>
      </c>
      <c r="C8" s="3" t="str">
        <f>INPUT_SKU!C13</f>
        <v>Mesin Cuci</v>
      </c>
      <c r="D8" s="17">
        <f>(INPUT_SKU!$C$7*INPUT_SKU!D13)</f>
        <v>560000</v>
      </c>
      <c r="E8" s="23">
        <f>SQRT(2*INPUT_SKU!E13*INPUT_SKU!$C$6/(INPUT_SKU!$C$7*INPUT_SKU!D13))</f>
        <v>13.093073414159543</v>
      </c>
      <c r="F8" s="24">
        <f>INPUT_SKU!E13/E8</f>
        <v>36.660605559646719</v>
      </c>
      <c r="G8" s="24">
        <f>365/F8</f>
        <v>9.9561912420171534</v>
      </c>
      <c r="H8" s="17">
        <f>F8*INPUT_SKU!$C$6</f>
        <v>3666060.555964672</v>
      </c>
      <c r="I8" s="17">
        <f>(E8/2)*(INPUT_SKU!$C$7*INPUT_SKU!D13)</f>
        <v>3666060.555964672</v>
      </c>
      <c r="J8" s="21">
        <f>H8+I8</f>
        <v>7332121.111929344</v>
      </c>
      <c r="K8" s="17">
        <f>(H8+I8)</f>
        <v>7332121.111929344</v>
      </c>
      <c r="L8" s="17">
        <f t="shared" si="0"/>
        <v>0</v>
      </c>
    </row>
    <row r="9" spans="2:12" x14ac:dyDescent="0.25">
      <c r="B9" s="14">
        <v>4</v>
      </c>
      <c r="C9" s="3" t="str">
        <f>INPUT_SKU!C14</f>
        <v>Speaker Bluetooth</v>
      </c>
      <c r="D9" s="17">
        <f>(INPUT_SKU!$C$7*INPUT_SKU!D14)</f>
        <v>70000</v>
      </c>
      <c r="E9" s="23">
        <f>SQRT(2*INPUT_SKU!E14*INPUT_SKU!$C$6/(INPUT_SKU!$C$7*INPUT_SKU!D14))</f>
        <v>82.807867121082509</v>
      </c>
      <c r="F9" s="24">
        <f>INPUT_SKU!E14/E9</f>
        <v>28.982753492378876</v>
      </c>
      <c r="G9" s="24">
        <f>365/F9</f>
        <v>12.593696457997964</v>
      </c>
      <c r="H9" s="17">
        <f>F9*INPUT_SKU!$C$6</f>
        <v>2898275.3492378877</v>
      </c>
      <c r="I9" s="17">
        <f>(E9/2)*(INPUT_SKU!$C$7*INPUT_SKU!D14)</f>
        <v>2898275.3492378877</v>
      </c>
      <c r="J9" s="21">
        <f>H9+I9</f>
        <v>5796550.6984757753</v>
      </c>
      <c r="K9" s="17">
        <f>(H9+I9)</f>
        <v>5796550.6984757753</v>
      </c>
      <c r="L9" s="17">
        <f t="shared" si="0"/>
        <v>0</v>
      </c>
    </row>
    <row r="10" spans="2:12" x14ac:dyDescent="0.25">
      <c r="B10" s="14">
        <v>5</v>
      </c>
      <c r="C10" s="3" t="str">
        <f>INPUT_SKU!C15</f>
        <v>Kabel HDMI</v>
      </c>
      <c r="D10" s="17">
        <f>(INPUT_SKU!$C$7*INPUT_SKU!D15)</f>
        <v>9000</v>
      </c>
      <c r="E10" s="23">
        <f>SQRT(2*INPUT_SKU!E15*INPUT_SKU!$C$6/(INPUT_SKU!$C$7*INPUT_SKU!D15))</f>
        <v>326.59863237109045</v>
      </c>
      <c r="F10" s="24">
        <f>INPUT_SKU!E15/E10</f>
        <v>14.696938456699067</v>
      </c>
      <c r="G10" s="24">
        <f>365/F10</f>
        <v>24.835104336551669</v>
      </c>
      <c r="H10" s="17">
        <f>F10*INPUT_SKU!$C$6</f>
        <v>1469693.8456699068</v>
      </c>
      <c r="I10" s="17">
        <f>(E10/2)*(INPUT_SKU!$C$7*INPUT_SKU!D15)</f>
        <v>1469693.8456699071</v>
      </c>
      <c r="J10" s="21">
        <f>H10+I10</f>
        <v>2939387.6913398141</v>
      </c>
      <c r="K10" s="17">
        <f>(H10+I10)</f>
        <v>2939387.6913398141</v>
      </c>
      <c r="L10" s="17">
        <f t="shared" si="0"/>
        <v>0</v>
      </c>
    </row>
    <row r="11" spans="2:12" x14ac:dyDescent="0.25">
      <c r="B11" s="20"/>
      <c r="C11" s="19" t="s">
        <v>68</v>
      </c>
      <c r="D11" s="20"/>
      <c r="E11" s="20"/>
      <c r="F11" s="20"/>
      <c r="G11" s="20"/>
      <c r="H11" s="21">
        <f>SUM(H6:H10)</f>
        <v>18093831.020879969</v>
      </c>
      <c r="I11" s="21">
        <f>SUM(I6:I10)</f>
        <v>18093831.020879969</v>
      </c>
      <c r="J11" s="21">
        <f>SUM(J6:J10)</f>
        <v>36187662.041759938</v>
      </c>
      <c r="K11" s="21">
        <f>SUM(K6:K10)</f>
        <v>36187662.041759938</v>
      </c>
      <c r="L11" s="21">
        <f t="shared" si="0"/>
        <v>0</v>
      </c>
    </row>
    <row r="13" spans="2:12" x14ac:dyDescent="0.25">
      <c r="B13" s="38" t="s">
        <v>69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2:12" x14ac:dyDescent="0.25">
      <c r="B14" s="42" t="s">
        <v>70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</row>
  </sheetData>
  <mergeCells count="4">
    <mergeCell ref="B2:L2"/>
    <mergeCell ref="B14:L14"/>
    <mergeCell ref="B13:L13"/>
    <mergeCell ref="B3:L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16"/>
  <sheetViews>
    <sheetView showGridLines="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6" customWidth="1"/>
    <col min="3" max="3" width="22" customWidth="1"/>
    <col min="4" max="4" width="9" customWidth="1"/>
    <col min="5" max="5" width="10" customWidth="1"/>
    <col min="6" max="6" width="11" customWidth="1"/>
    <col min="7" max="7" width="9" customWidth="1"/>
    <col min="8" max="10" width="12" customWidth="1"/>
    <col min="11" max="11" width="26" customWidth="1"/>
  </cols>
  <sheetData>
    <row r="2" spans="2:12" ht="26.1" customHeight="1" x14ac:dyDescent="0.25">
      <c r="B2" s="38" t="s">
        <v>71</v>
      </c>
      <c r="C2" s="37"/>
      <c r="D2" s="37"/>
      <c r="E2" s="37"/>
      <c r="F2" s="37"/>
      <c r="G2" s="37"/>
      <c r="H2" s="37"/>
      <c r="I2" s="37"/>
      <c r="J2" s="37"/>
      <c r="K2" s="37"/>
    </row>
    <row r="3" spans="2:12" x14ac:dyDescent="0.25">
      <c r="B3" s="40" t="s">
        <v>72</v>
      </c>
      <c r="C3" s="37"/>
      <c r="D3" s="37"/>
      <c r="E3" s="37"/>
      <c r="F3" s="37"/>
      <c r="G3" s="37"/>
      <c r="H3" s="37"/>
      <c r="I3" s="37"/>
      <c r="J3" s="37"/>
      <c r="K3" s="37"/>
    </row>
    <row r="5" spans="2:12" ht="33.950000000000003" customHeight="1" x14ac:dyDescent="0.25">
      <c r="B5" s="6" t="s">
        <v>36</v>
      </c>
      <c r="C5" s="6" t="s">
        <v>37</v>
      </c>
      <c r="D5" s="6" t="s">
        <v>73</v>
      </c>
      <c r="E5" s="6" t="s">
        <v>74</v>
      </c>
      <c r="F5" s="6" t="s">
        <v>75</v>
      </c>
      <c r="G5" s="6" t="s">
        <v>76</v>
      </c>
      <c r="H5" s="6" t="s">
        <v>77</v>
      </c>
      <c r="I5" s="6" t="s">
        <v>78</v>
      </c>
      <c r="J5" s="6" t="s">
        <v>79</v>
      </c>
      <c r="K5" s="6" t="s">
        <v>80</v>
      </c>
      <c r="L5" s="6" t="s">
        <v>44</v>
      </c>
    </row>
    <row r="6" spans="2:12" x14ac:dyDescent="0.25">
      <c r="B6" s="14">
        <v>1</v>
      </c>
      <c r="C6" s="3" t="str">
        <f>INPUT_SKU!C11</f>
        <v>LED TV 43"</v>
      </c>
      <c r="D6" s="25">
        <f>INPUT_SKU!H11</f>
        <v>2</v>
      </c>
      <c r="E6" s="24">
        <f>INPUT_SKU!$C$8</f>
        <v>1.645</v>
      </c>
      <c r="F6" s="24">
        <f>INPUT_SKU!F11*INPUT_SKU!H11</f>
        <v>46.16</v>
      </c>
      <c r="G6" s="24">
        <f>INPUT_SKU!G11*SQRT(INPUT_SKU!H11)</f>
        <v>8.4852813742385713</v>
      </c>
      <c r="H6" s="23">
        <f>INPUT_SKU!$C$8*INPUT_SKU!G11*SQRT(INPUT_SKU!H11)</f>
        <v>13.95828786062245</v>
      </c>
      <c r="I6" s="23">
        <f>F6+H6</f>
        <v>60.118287860622445</v>
      </c>
      <c r="J6" s="16">
        <v>35</v>
      </c>
      <c r="K6" s="26" t="str">
        <f>IF(J6&lt;=I6,"RE-ORDER SEKARANG",IF(J6&lt;=I6*1.2,"MENDEKATI ROP","AMAN"))</f>
        <v>RE-ORDER SEKARANG</v>
      </c>
    </row>
    <row r="7" spans="2:12" x14ac:dyDescent="0.25">
      <c r="B7" s="14">
        <v>2</v>
      </c>
      <c r="C7" s="3" t="str">
        <f>INPUT_SKU!C12</f>
        <v>Kulkas 2 Pintu</v>
      </c>
      <c r="D7" s="25">
        <f>INPUT_SKU!H12</f>
        <v>3</v>
      </c>
      <c r="E7" s="24">
        <f>INPUT_SKU!$C$8</f>
        <v>1.645</v>
      </c>
      <c r="F7" s="24">
        <f>INPUT_SKU!F12*INPUT_SKU!H12</f>
        <v>34.619999999999997</v>
      </c>
      <c r="G7" s="24">
        <f>INPUT_SKU!G12*SQRT(INPUT_SKU!H12)</f>
        <v>6.0621778264910704</v>
      </c>
      <c r="H7" s="23">
        <f>INPUT_SKU!$C$8*INPUT_SKU!G12*SQRT(INPUT_SKU!H12)</f>
        <v>9.9722825245778104</v>
      </c>
      <c r="I7" s="23">
        <f>F7+H7</f>
        <v>44.592282524577811</v>
      </c>
      <c r="J7" s="16">
        <v>22</v>
      </c>
      <c r="K7" s="26" t="str">
        <f>IF(J7&lt;=I7,"RE-ORDER SEKARANG",IF(J7&lt;=I7*1.2,"MENDEKATI ROP","AMAN"))</f>
        <v>RE-ORDER SEKARANG</v>
      </c>
    </row>
    <row r="8" spans="2:12" x14ac:dyDescent="0.25">
      <c r="B8" s="14">
        <v>3</v>
      </c>
      <c r="C8" s="3" t="str">
        <f>INPUT_SKU!C13</f>
        <v>Mesin Cuci</v>
      </c>
      <c r="D8" s="25">
        <f>INPUT_SKU!H13</f>
        <v>3</v>
      </c>
      <c r="E8" s="24">
        <f>INPUT_SKU!$C$8</f>
        <v>1.645</v>
      </c>
      <c r="F8" s="24">
        <f>INPUT_SKU!F13*INPUT_SKU!H13</f>
        <v>27.69</v>
      </c>
      <c r="G8" s="24">
        <f>INPUT_SKU!G13*SQRT(INPUT_SKU!H13)</f>
        <v>5.196152422706632</v>
      </c>
      <c r="H8" s="23">
        <f>INPUT_SKU!$C$8*INPUT_SKU!G13*SQRT(INPUT_SKU!H13)</f>
        <v>8.5476707353524102</v>
      </c>
      <c r="I8" s="23">
        <f>F8+H8</f>
        <v>36.23767073535241</v>
      </c>
      <c r="J8" s="16">
        <v>40</v>
      </c>
      <c r="K8" s="26" t="str">
        <f>IF(J8&lt;=I8,"RE-ORDER SEKARANG",IF(J8&lt;=I8*1.2,"MENDEKATI ROP","AMAN"))</f>
        <v>MENDEKATI ROP</v>
      </c>
    </row>
    <row r="9" spans="2:12" x14ac:dyDescent="0.25">
      <c r="B9" s="14">
        <v>4</v>
      </c>
      <c r="C9" s="3" t="str">
        <f>INPUT_SKU!C14</f>
        <v>Speaker Bluetooth</v>
      </c>
      <c r="D9" s="25">
        <f>INPUT_SKU!H14</f>
        <v>1</v>
      </c>
      <c r="E9" s="24">
        <f>INPUT_SKU!$C$8</f>
        <v>1.645</v>
      </c>
      <c r="F9" s="24">
        <f>INPUT_SKU!F14*INPUT_SKU!H14</f>
        <v>46.15</v>
      </c>
      <c r="G9" s="24">
        <f>INPUT_SKU!G14*SQRT(INPUT_SKU!H14)</f>
        <v>12</v>
      </c>
      <c r="H9" s="23">
        <f>INPUT_SKU!$C$8*INPUT_SKU!G14*SQRT(INPUT_SKU!H14)</f>
        <v>19.740000000000002</v>
      </c>
      <c r="I9" s="23">
        <f>F9+H9</f>
        <v>65.89</v>
      </c>
      <c r="J9" s="16">
        <v>70</v>
      </c>
      <c r="K9" s="26" t="str">
        <f>IF(J9&lt;=I9,"RE-ORDER SEKARANG",IF(J9&lt;=I9*1.2,"MENDEKATI ROP","AMAN"))</f>
        <v>MENDEKATI ROP</v>
      </c>
    </row>
    <row r="10" spans="2:12" x14ac:dyDescent="0.25">
      <c r="B10" s="14">
        <v>5</v>
      </c>
      <c r="C10" s="3" t="str">
        <f>INPUT_SKU!C15</f>
        <v>Kabel HDMI</v>
      </c>
      <c r="D10" s="25">
        <f>INPUT_SKU!H15</f>
        <v>1</v>
      </c>
      <c r="E10" s="24">
        <f>INPUT_SKU!$C$8</f>
        <v>1.645</v>
      </c>
      <c r="F10" s="24">
        <f>INPUT_SKU!F15*INPUT_SKU!H15</f>
        <v>92.31</v>
      </c>
      <c r="G10" s="24">
        <f>INPUT_SKU!G15*SQRT(INPUT_SKU!H15)</f>
        <v>25</v>
      </c>
      <c r="H10" s="23">
        <f>INPUT_SKU!$C$8*INPUT_SKU!G15*SQRT(INPUT_SKU!H15)</f>
        <v>41.125</v>
      </c>
      <c r="I10" s="23">
        <f>F10+H10</f>
        <v>133.435</v>
      </c>
      <c r="J10" s="16">
        <v>140</v>
      </c>
      <c r="K10" s="26" t="str">
        <f>IF(J10&lt;=I10,"RE-ORDER SEKARANG",IF(J10&lt;=I10*1.2,"MENDEKATI ROP","AMAN"))</f>
        <v>MENDEKATI ROP</v>
      </c>
    </row>
    <row r="12" spans="2:12" x14ac:dyDescent="0.25">
      <c r="B12" s="38" t="s">
        <v>81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2:12" ht="60" x14ac:dyDescent="0.25">
      <c r="B13" s="2" t="s">
        <v>82</v>
      </c>
      <c r="C13" s="43" t="s">
        <v>83</v>
      </c>
      <c r="D13" s="37"/>
      <c r="E13" s="37"/>
      <c r="F13" s="37"/>
      <c r="G13" s="37"/>
      <c r="H13" s="37"/>
      <c r="I13" s="37"/>
      <c r="J13" s="37"/>
      <c r="K13" s="37"/>
    </row>
    <row r="14" spans="2:12" ht="60" x14ac:dyDescent="0.25">
      <c r="B14" s="2" t="s">
        <v>84</v>
      </c>
      <c r="C14" s="43" t="s">
        <v>85</v>
      </c>
      <c r="D14" s="37"/>
      <c r="E14" s="37"/>
      <c r="F14" s="37"/>
      <c r="G14" s="37"/>
      <c r="H14" s="37"/>
      <c r="I14" s="37"/>
      <c r="J14" s="37"/>
      <c r="K14" s="37"/>
    </row>
    <row r="15" spans="2:12" ht="60" x14ac:dyDescent="0.25">
      <c r="B15" s="2" t="s">
        <v>86</v>
      </c>
      <c r="C15" s="43" t="s">
        <v>87</v>
      </c>
      <c r="D15" s="37"/>
      <c r="E15" s="37"/>
      <c r="F15" s="37"/>
      <c r="G15" s="37"/>
      <c r="H15" s="37"/>
      <c r="I15" s="37"/>
      <c r="J15" s="37"/>
      <c r="K15" s="37"/>
    </row>
    <row r="16" spans="2:12" ht="75" x14ac:dyDescent="0.25">
      <c r="B16" s="2" t="s">
        <v>88</v>
      </c>
      <c r="C16" s="43" t="s">
        <v>89</v>
      </c>
      <c r="D16" s="37"/>
      <c r="E16" s="37"/>
      <c r="F16" s="37"/>
      <c r="G16" s="37"/>
      <c r="H16" s="37"/>
      <c r="I16" s="37"/>
      <c r="J16" s="37"/>
      <c r="K16" s="37"/>
    </row>
  </sheetData>
  <mergeCells count="7">
    <mergeCell ref="B2:K2"/>
    <mergeCell ref="B3:K3"/>
    <mergeCell ref="C16:K16"/>
    <mergeCell ref="C15:K15"/>
    <mergeCell ref="C14:K14"/>
    <mergeCell ref="C13:K13"/>
    <mergeCell ref="B12:K1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16"/>
  <sheetViews>
    <sheetView showGridLines="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6" customWidth="1"/>
    <col min="3" max="3" width="22" customWidth="1"/>
    <col min="4" max="4" width="14" customWidth="1"/>
    <col min="5" max="5" width="12" customWidth="1"/>
    <col min="6" max="6" width="14" customWidth="1"/>
    <col min="7" max="7" width="9" customWidth="1"/>
    <col min="8" max="9" width="11" customWidth="1"/>
    <col min="10" max="10" width="8" customWidth="1"/>
    <col min="11" max="11" width="30" customWidth="1"/>
  </cols>
  <sheetData>
    <row r="2" spans="2:11" ht="26.1" customHeight="1" x14ac:dyDescent="0.25">
      <c r="B2" s="38" t="s">
        <v>90</v>
      </c>
      <c r="C2" s="37"/>
      <c r="D2" s="37"/>
      <c r="E2" s="37"/>
      <c r="F2" s="37"/>
      <c r="G2" s="37"/>
      <c r="H2" s="37"/>
      <c r="I2" s="37"/>
      <c r="J2" s="37"/>
      <c r="K2" s="37"/>
    </row>
    <row r="3" spans="2:11" x14ac:dyDescent="0.25">
      <c r="B3" s="40" t="s">
        <v>91</v>
      </c>
      <c r="C3" s="37"/>
      <c r="D3" s="37"/>
      <c r="E3" s="37"/>
      <c r="F3" s="37"/>
      <c r="G3" s="37"/>
      <c r="H3" s="37"/>
      <c r="I3" s="37"/>
      <c r="J3" s="37"/>
      <c r="K3" s="37"/>
    </row>
    <row r="5" spans="2:11" ht="33.950000000000003" customHeight="1" x14ac:dyDescent="0.25">
      <c r="B5" s="6" t="s">
        <v>36</v>
      </c>
      <c r="C5" s="6" t="s">
        <v>37</v>
      </c>
      <c r="D5" s="6" t="s">
        <v>92</v>
      </c>
      <c r="E5" s="6" t="s">
        <v>93</v>
      </c>
      <c r="F5" s="6" t="s">
        <v>94</v>
      </c>
      <c r="G5" s="6" t="s">
        <v>95</v>
      </c>
      <c r="H5" s="6" t="s">
        <v>96</v>
      </c>
      <c r="I5" s="6" t="s">
        <v>97</v>
      </c>
      <c r="J5" s="6" t="s">
        <v>98</v>
      </c>
      <c r="K5" s="6" t="s">
        <v>99</v>
      </c>
    </row>
    <row r="6" spans="2:11" x14ac:dyDescent="0.25">
      <c r="B6" s="14">
        <v>1</v>
      </c>
      <c r="C6" s="3" t="str">
        <f>INPUT_SKU!C11</f>
        <v>LED TV 43"</v>
      </c>
      <c r="D6" s="17">
        <f>INPUT_SKU!D11</f>
        <v>2500000</v>
      </c>
      <c r="E6" s="25">
        <f>INPUT_SKU!E11</f>
        <v>1200</v>
      </c>
      <c r="F6" s="17">
        <f>INPUT_SKU!I11</f>
        <v>3000000000</v>
      </c>
      <c r="G6" s="27">
        <v>1</v>
      </c>
      <c r="H6" s="28">
        <f>F6/INPUT_SKU!I16</f>
        <v>0.4</v>
      </c>
      <c r="I6" s="28">
        <f>SUMPRODUCT(($G$6:$G$10&lt;=G6)*($H$6:$H$10))</f>
        <v>0.4</v>
      </c>
      <c r="J6" s="29" t="str">
        <f>IF(I6&lt;=0.8,"A",IF(I6&lt;=0.95,"B","C"))</f>
        <v>A</v>
      </c>
      <c r="K6" s="11" t="str">
        <f>IF(J6="A","Kontrol ketat: hitung tepat, hitung EOQ+SS penuh, hitung fisik mingguan",IF(J6="B","Kontrol normal: EOQ+SS, stok opname bulanan","Kontrol longgar: pesan quantity besar/safety stock rendah, opname kuartal"))</f>
        <v>Kontrol ketat: hitung tepat, hitung EOQ+SS penuh, hitung fisik mingguan</v>
      </c>
    </row>
    <row r="7" spans="2:11" x14ac:dyDescent="0.25">
      <c r="B7" s="14">
        <v>2</v>
      </c>
      <c r="C7" s="3" t="str">
        <f>INPUT_SKU!C12</f>
        <v>Kulkas 2 Pintu</v>
      </c>
      <c r="D7" s="17">
        <f>INPUT_SKU!D12</f>
        <v>3500000</v>
      </c>
      <c r="E7" s="25">
        <f>INPUT_SKU!E12</f>
        <v>600</v>
      </c>
      <c r="F7" s="17">
        <f>INPUT_SKU!I12</f>
        <v>2100000000</v>
      </c>
      <c r="G7" s="27">
        <v>2</v>
      </c>
      <c r="H7" s="28">
        <f>F7/INPUT_SKU!I16</f>
        <v>0.28000000000000003</v>
      </c>
      <c r="I7" s="28">
        <f>SUMPRODUCT(($G$6:$G$10&lt;=G7)*($H$6:$H$10))</f>
        <v>0.68</v>
      </c>
      <c r="J7" s="29" t="str">
        <f>IF(I7&lt;=0.8,"A",IF(I7&lt;=0.95,"B","C"))</f>
        <v>A</v>
      </c>
      <c r="K7" s="11" t="str">
        <f>IF(J7="A","Kontrol ketat: hitung tepat, hitung EOQ+SS penuh, hitung fisik mingguan",IF(J7="B","Kontrol normal: EOQ+SS, stok opname bulanan","Kontrol longgar: pesan quantity besar/safety stock rendah, opname kuartal"))</f>
        <v>Kontrol ketat: hitung tepat, hitung EOQ+SS penuh, hitung fisik mingguan</v>
      </c>
    </row>
    <row r="8" spans="2:11" x14ac:dyDescent="0.25">
      <c r="B8" s="14">
        <v>3</v>
      </c>
      <c r="C8" s="3" t="str">
        <f>INPUT_SKU!C13</f>
        <v>Mesin Cuci</v>
      </c>
      <c r="D8" s="17">
        <f>INPUT_SKU!D13</f>
        <v>2800000</v>
      </c>
      <c r="E8" s="25">
        <f>INPUT_SKU!E13</f>
        <v>480</v>
      </c>
      <c r="F8" s="17">
        <f>INPUT_SKU!I13</f>
        <v>1344000000</v>
      </c>
      <c r="G8" s="27">
        <v>3</v>
      </c>
      <c r="H8" s="28">
        <f>F8/INPUT_SKU!I16</f>
        <v>0.1792</v>
      </c>
      <c r="I8" s="28">
        <f>SUMPRODUCT(($G$6:$G$10&lt;=G8)*($H$6:$H$10))</f>
        <v>0.85920000000000007</v>
      </c>
      <c r="J8" s="30" t="str">
        <f>IF(I8&lt;=0.8,"A",IF(I8&lt;=0.95,"B","C"))</f>
        <v>B</v>
      </c>
      <c r="K8" s="11" t="str">
        <f>IF(J8="A","Kontrol ketat: hitung tepat, hitung EOQ+SS penuh, hitung fisik mingguan",IF(J8="B","Kontrol normal: EOQ+SS, stok opname bulanan","Kontrol longgar: pesan quantity besar/safety stock rendah, opname kuartal"))</f>
        <v>Kontrol normal: EOQ+SS, stok opname bulanan</v>
      </c>
    </row>
    <row r="9" spans="2:11" x14ac:dyDescent="0.25">
      <c r="B9" s="14">
        <v>4</v>
      </c>
      <c r="C9" s="3" t="str">
        <f>INPUT_SKU!C14</f>
        <v>Speaker Bluetooth</v>
      </c>
      <c r="D9" s="17">
        <f>INPUT_SKU!D14</f>
        <v>350000</v>
      </c>
      <c r="E9" s="25">
        <f>INPUT_SKU!E14</f>
        <v>2400</v>
      </c>
      <c r="F9" s="17">
        <f>INPUT_SKU!I14</f>
        <v>840000000</v>
      </c>
      <c r="G9" s="27">
        <v>4</v>
      </c>
      <c r="H9" s="28">
        <f>F9/INPUT_SKU!I16</f>
        <v>0.112</v>
      </c>
      <c r="I9" s="28">
        <f>SUMPRODUCT(($G$6:$G$10&lt;=G9)*($H$6:$H$10))</f>
        <v>0.97120000000000006</v>
      </c>
      <c r="J9" s="31" t="str">
        <f>IF(I9&lt;=0.8,"A",IF(I9&lt;=0.95,"B","C"))</f>
        <v>C</v>
      </c>
      <c r="K9" s="11" t="str">
        <f>IF(J9="A","Kontrol ketat: hitung tepat, hitung EOQ+SS penuh, hitung fisik mingguan",IF(J9="B","Kontrol normal: EOQ+SS, stok opname bulanan","Kontrol longgar: pesan quantity besar/safety stock rendah, opname kuartal"))</f>
        <v>Kontrol longgar: pesan quantity besar/safety stock rendah, opname kuartal</v>
      </c>
    </row>
    <row r="10" spans="2:11" x14ac:dyDescent="0.25">
      <c r="B10" s="14">
        <v>5</v>
      </c>
      <c r="C10" s="3" t="str">
        <f>INPUT_SKU!C15</f>
        <v>Kabel HDMI</v>
      </c>
      <c r="D10" s="17">
        <f>INPUT_SKU!D15</f>
        <v>45000</v>
      </c>
      <c r="E10" s="25">
        <f>INPUT_SKU!E15</f>
        <v>4800</v>
      </c>
      <c r="F10" s="17">
        <f>INPUT_SKU!I15</f>
        <v>216000000</v>
      </c>
      <c r="G10" s="27">
        <v>5</v>
      </c>
      <c r="H10" s="28">
        <f>F10/INPUT_SKU!I16</f>
        <v>2.8799999999999999E-2</v>
      </c>
      <c r="I10" s="28">
        <f>SUMPRODUCT(($G$6:$G$10&lt;=G10)*($H$6:$H$10))</f>
        <v>1</v>
      </c>
      <c r="J10" s="31" t="str">
        <f>IF(I10&lt;=0.8,"A",IF(I10&lt;=0.95,"B","C"))</f>
        <v>C</v>
      </c>
      <c r="K10" s="11" t="str">
        <f>IF(J10="A","Kontrol ketat: hitung tepat, hitung EOQ+SS penuh, hitung fisik mingguan",IF(J10="B","Kontrol normal: EOQ+SS, stok opname bulanan","Kontrol longgar: pesan quantity besar/safety stock rendah, opname kuartal"))</f>
        <v>Kontrol longgar: pesan quantity besar/safety stock rendah, opname kuartal</v>
      </c>
    </row>
    <row r="11" spans="2:11" x14ac:dyDescent="0.25">
      <c r="B11" s="20"/>
      <c r="C11" s="19" t="s">
        <v>55</v>
      </c>
      <c r="D11" s="20"/>
      <c r="E11" s="20"/>
      <c r="F11" s="21">
        <f>SUM(F6:F10)</f>
        <v>7500000000</v>
      </c>
      <c r="G11" s="20"/>
      <c r="H11" s="20"/>
      <c r="I11" s="20"/>
      <c r="J11" s="20"/>
      <c r="K11" s="22"/>
    </row>
    <row r="13" spans="2:11" x14ac:dyDescent="0.25">
      <c r="B13" s="38" t="s">
        <v>100</v>
      </c>
      <c r="C13" s="37"/>
      <c r="D13" s="37"/>
      <c r="E13" s="37"/>
      <c r="F13" s="37"/>
      <c r="G13" s="37"/>
      <c r="H13" s="37"/>
      <c r="I13" s="37"/>
      <c r="J13" s="37"/>
      <c r="K13" s="37"/>
    </row>
    <row r="14" spans="2:11" ht="30" x14ac:dyDescent="0.25">
      <c r="B14" s="29" t="s">
        <v>101</v>
      </c>
      <c r="C14" s="14" t="str">
        <f>COUNTIF(J6:J10,"A")&amp;" SKU"</f>
        <v>2 SKU</v>
      </c>
      <c r="D14" s="32" t="s">
        <v>102</v>
      </c>
      <c r="E14" s="44">
        <f>SUMIF(J6:J10,"A",F6:F10)</f>
        <v>5100000000</v>
      </c>
      <c r="F14" s="37"/>
      <c r="G14" s="32" t="s">
        <v>103</v>
      </c>
      <c r="H14" s="45">
        <f>SUMIF(J6:J10,"A",F6:F10)/INPUT_SKU!I16</f>
        <v>0.68</v>
      </c>
      <c r="I14" s="37"/>
      <c r="J14" s="7"/>
      <c r="K14" s="11" t="s">
        <v>104</v>
      </c>
    </row>
    <row r="15" spans="2:11" ht="30" x14ac:dyDescent="0.25">
      <c r="B15" s="30" t="s">
        <v>105</v>
      </c>
      <c r="C15" s="14" t="str">
        <f>COUNTIF(J6:J10,"B")&amp;" SKU"</f>
        <v>1 SKU</v>
      </c>
      <c r="D15" s="32" t="s">
        <v>102</v>
      </c>
      <c r="E15" s="44">
        <f>SUMIF(J6:J10,"B",F6:F10)</f>
        <v>1344000000</v>
      </c>
      <c r="F15" s="37"/>
      <c r="G15" s="32" t="s">
        <v>103</v>
      </c>
      <c r="H15" s="45">
        <f>SUMIF(J6:J10,"B",F6:F10)/INPUT_SKU!I16</f>
        <v>0.1792</v>
      </c>
      <c r="I15" s="37"/>
      <c r="J15" s="7"/>
      <c r="K15" s="11" t="s">
        <v>106</v>
      </c>
    </row>
    <row r="16" spans="2:11" ht="30" x14ac:dyDescent="0.25">
      <c r="B16" s="31" t="s">
        <v>107</v>
      </c>
      <c r="C16" s="14" t="str">
        <f>COUNTIF(J6:J10,"C")&amp;" SKU"</f>
        <v>2 SKU</v>
      </c>
      <c r="D16" s="32" t="s">
        <v>102</v>
      </c>
      <c r="E16" s="44">
        <f>SUMIF(J6:J10,"C",F6:F10)</f>
        <v>1056000000</v>
      </c>
      <c r="F16" s="37"/>
      <c r="G16" s="32" t="s">
        <v>103</v>
      </c>
      <c r="H16" s="45">
        <f>SUMIF(J6:J10,"C",F6:F10)/INPUT_SKU!I16</f>
        <v>0.14080000000000001</v>
      </c>
      <c r="I16" s="37"/>
      <c r="J16" s="7"/>
      <c r="K16" s="11" t="s">
        <v>108</v>
      </c>
    </row>
  </sheetData>
  <mergeCells count="9">
    <mergeCell ref="B2:K2"/>
    <mergeCell ref="E14:F14"/>
    <mergeCell ref="H14:I14"/>
    <mergeCell ref="B3:K3"/>
    <mergeCell ref="E16:F16"/>
    <mergeCell ref="E15:F15"/>
    <mergeCell ref="H16:I16"/>
    <mergeCell ref="B13:K13"/>
    <mergeCell ref="H15:I1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19"/>
  <sheetViews>
    <sheetView showGridLines="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50" customWidth="1"/>
    <col min="3" max="5" width="18" customWidth="1"/>
    <col min="6" max="6" width="30" customWidth="1"/>
  </cols>
  <sheetData>
    <row r="2" spans="2:6" ht="26.1" customHeight="1" x14ac:dyDescent="0.25">
      <c r="B2" s="38" t="s">
        <v>109</v>
      </c>
      <c r="C2" s="37"/>
      <c r="D2" s="37"/>
      <c r="E2" s="37"/>
      <c r="F2" s="37"/>
    </row>
    <row r="3" spans="2:6" x14ac:dyDescent="0.25">
      <c r="B3" s="40" t="s">
        <v>110</v>
      </c>
      <c r="C3" s="37"/>
      <c r="D3" s="37"/>
      <c r="E3" s="37"/>
      <c r="F3" s="37"/>
    </row>
    <row r="5" spans="2:6" x14ac:dyDescent="0.25">
      <c r="B5" s="6" t="s">
        <v>111</v>
      </c>
      <c r="C5" s="6" t="s">
        <v>112</v>
      </c>
      <c r="D5" s="6" t="s">
        <v>113</v>
      </c>
      <c r="E5" s="6" t="s">
        <v>114</v>
      </c>
      <c r="F5" s="6" t="s">
        <v>115</v>
      </c>
    </row>
    <row r="6" spans="2:6" ht="30" x14ac:dyDescent="0.25">
      <c r="B6" s="3" t="s">
        <v>116</v>
      </c>
      <c r="C6" s="17">
        <f>SUMPRODUCT(EOQ_CALCULATOR!H6:H10)</f>
        <v>18093831.020879969</v>
      </c>
      <c r="D6" s="17">
        <f>SUMPRODUCT(EOQ_CALCULATOR!I6:I10)</f>
        <v>18093831.020879969</v>
      </c>
      <c r="E6" s="17">
        <f>C6-D6</f>
        <v>0</v>
      </c>
      <c r="F6" s="31" t="str">
        <f>IF(ABS(E6)&lt;0.5,"✓ LULUS","✗ SELISIH")</f>
        <v>✓ LULUS</v>
      </c>
    </row>
    <row r="7" spans="2:6" ht="30" x14ac:dyDescent="0.25">
      <c r="B7" s="3" t="s">
        <v>117</v>
      </c>
      <c r="C7" s="17">
        <f>EOQ_CALCULATOR!J11</f>
        <v>36187662.041759938</v>
      </c>
      <c r="D7" s="17">
        <f>EOQ_CALCULATOR!K11</f>
        <v>36187662.041759938</v>
      </c>
      <c r="E7" s="17">
        <f>C7-D7</f>
        <v>0</v>
      </c>
      <c r="F7" s="31" t="str">
        <f>IF(ABS(E7)&lt;0.5,"✓ LULUS","✗ SELISIH")</f>
        <v>✓ LULUS</v>
      </c>
    </row>
    <row r="8" spans="2:6" x14ac:dyDescent="0.25">
      <c r="B8" s="3" t="s">
        <v>118</v>
      </c>
      <c r="C8" s="25">
        <f>SUMPRODUCT(--(SAFETY_STOCK_ROP!I6:I10&lt;SAFETY_STOCK_ROP!H6:H10))</f>
        <v>0</v>
      </c>
      <c r="D8" s="25">
        <f>0</f>
        <v>0</v>
      </c>
      <c r="E8" s="25">
        <f>C8-D8</f>
        <v>0</v>
      </c>
      <c r="F8" s="31" t="str">
        <f>IF(ABS(E8)&lt;0.5,"✓ LULUS","✗ SELISIH")</f>
        <v>✓ LULUS</v>
      </c>
    </row>
    <row r="9" spans="2:6" ht="30" x14ac:dyDescent="0.25">
      <c r="B9" s="3" t="s">
        <v>119</v>
      </c>
      <c r="C9" s="25">
        <f>COUNTA(ABC_ANALYSIS!J6:J10)</f>
        <v>5</v>
      </c>
      <c r="D9" s="25">
        <f>5</f>
        <v>5</v>
      </c>
      <c r="E9" s="25">
        <f>C9-D9</f>
        <v>0</v>
      </c>
      <c r="F9" s="31" t="str">
        <f>IF(ABS(E9)&lt;0.5,"✓ LULUS","✗ SELISIH")</f>
        <v>✓ LULUS</v>
      </c>
    </row>
    <row r="10" spans="2:6" x14ac:dyDescent="0.25">
      <c r="B10" s="3" t="s">
        <v>120</v>
      </c>
      <c r="C10" s="28">
        <f>SUMPRODUCT(ABC_ANALYSIS!H6:H10)</f>
        <v>1</v>
      </c>
      <c r="D10" s="28">
        <f>1</f>
        <v>1</v>
      </c>
      <c r="E10" s="28">
        <f>C10-D10</f>
        <v>0</v>
      </c>
      <c r="F10" s="31" t="str">
        <f>IF(ABS(E10)&lt;0.5,"✓ LULUS","✗ SELISIH")</f>
        <v>✓ LULUS</v>
      </c>
    </row>
    <row r="12" spans="2:6" x14ac:dyDescent="0.25">
      <c r="B12" s="38" t="s">
        <v>121</v>
      </c>
      <c r="C12" s="37"/>
      <c r="D12" s="37"/>
      <c r="E12" s="37"/>
      <c r="F12" s="37"/>
    </row>
    <row r="13" spans="2:6" x14ac:dyDescent="0.25">
      <c r="B13" s="3" t="s">
        <v>122</v>
      </c>
      <c r="C13" s="33">
        <f>EOQ_CALCULATOR!J11</f>
        <v>36187662.041759938</v>
      </c>
      <c r="D13" s="41" t="s">
        <v>123</v>
      </c>
      <c r="E13" s="37"/>
      <c r="F13" s="37"/>
    </row>
    <row r="14" spans="2:6" x14ac:dyDescent="0.25">
      <c r="B14" s="3" t="s">
        <v>124</v>
      </c>
      <c r="C14" s="34">
        <f>SUM(EOQ_CALCULATOR!F6:F10)</f>
        <v>180.93831020879969</v>
      </c>
      <c r="D14" s="41" t="s">
        <v>125</v>
      </c>
      <c r="E14" s="37"/>
      <c r="F14" s="37"/>
    </row>
    <row r="15" spans="2:6" x14ac:dyDescent="0.25">
      <c r="B15" s="3" t="s">
        <v>126</v>
      </c>
      <c r="C15" s="34">
        <f>INPUT_SKU!C8</f>
        <v>1.645</v>
      </c>
      <c r="D15" s="41" t="s">
        <v>127</v>
      </c>
      <c r="E15" s="37"/>
      <c r="F15" s="37"/>
    </row>
    <row r="16" spans="2:6" x14ac:dyDescent="0.25">
      <c r="B16" s="3" t="s">
        <v>128</v>
      </c>
      <c r="C16" s="34">
        <f>SUM(SAFETY_STOCK_ROP!H6:H10)</f>
        <v>93.343241120552676</v>
      </c>
      <c r="D16" s="41" t="s">
        <v>129</v>
      </c>
      <c r="E16" s="37"/>
      <c r="F16" s="37"/>
    </row>
    <row r="17" spans="2:6" x14ac:dyDescent="0.25">
      <c r="B17" s="3" t="s">
        <v>130</v>
      </c>
      <c r="C17" s="33">
        <f>SUMPRODUCT(SAFETY_STOCK_ROP!H6:H10,INPUT_SKU!D11:D15)</f>
        <v>102491811.54656522</v>
      </c>
      <c r="D17" s="41" t="s">
        <v>131</v>
      </c>
      <c r="E17" s="37"/>
      <c r="F17" s="37"/>
    </row>
    <row r="18" spans="2:6" x14ac:dyDescent="0.25">
      <c r="B18" s="3" t="s">
        <v>132</v>
      </c>
      <c r="C18" s="33">
        <f>INPUT_SKU!I16</f>
        <v>7500000000</v>
      </c>
      <c r="D18" s="41" t="s">
        <v>133</v>
      </c>
      <c r="E18" s="37"/>
      <c r="F18" s="37"/>
    </row>
    <row r="19" spans="2:6" x14ac:dyDescent="0.25">
      <c r="B19" s="3" t="s">
        <v>134</v>
      </c>
      <c r="C19" s="35" t="str">
        <f>COUNTIF(ABC_ANALYSIS!J6:J10,"A")&amp;" / 5 SKU ("&amp;TEXT(SUMIF(ABC_ANALYSIS!J6:J10,"A",ABC_ANALYSIS!F6:F10)/INPUT_SKU!I16,"0%")&amp;" nilai)"</f>
        <v>2 / 5 SKU (68% nilai)</v>
      </c>
      <c r="D19" s="41" t="s">
        <v>135</v>
      </c>
      <c r="E19" s="37"/>
      <c r="F19" s="37"/>
    </row>
  </sheetData>
  <mergeCells count="10">
    <mergeCell ref="B12:F12"/>
    <mergeCell ref="D13:F13"/>
    <mergeCell ref="D14:F14"/>
    <mergeCell ref="D19:F19"/>
    <mergeCell ref="B2:F2"/>
    <mergeCell ref="B3:F3"/>
    <mergeCell ref="D18:F18"/>
    <mergeCell ref="D17:F17"/>
    <mergeCell ref="D15:F15"/>
    <mergeCell ref="D16:F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PETUNJUK</vt:lpstr>
      <vt:lpstr>INPUT_SKU</vt:lpstr>
      <vt:lpstr>EOQ_CALCULATOR</vt:lpstr>
      <vt:lpstr>SAFETY_STOCK_ROP</vt:lpstr>
      <vt:lpstr>ABC_ANALYSIS</vt:lpstr>
      <vt:lpstr>CEK_KONSISTENSI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Nana Varian</cp:lastModifiedBy>
  <dcterms:created xsi:type="dcterms:W3CDTF">2026-07-18T17:28:59Z</dcterms:created>
  <dcterms:modified xsi:type="dcterms:W3CDTF">2026-07-18T17:29:37Z</dcterms:modified>
</cp:coreProperties>
</file>