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PETUNJUK" sheetId="1" state="visible" r:id="rId1"/>
    <sheet xmlns:r="http://schemas.openxmlformats.org/officeDocument/2006/relationships" name="1_GREENIUM" sheetId="2" state="visible" r:id="rId2"/>
    <sheet xmlns:r="http://schemas.openxmlformats.org/officeDocument/2006/relationships" name="2_ESG_SCORING" sheetId="3" state="visible" r:id="rId3"/>
    <sheet xmlns:r="http://schemas.openxmlformats.org/officeDocument/2006/relationships" name="3_ESG_DCF_ADJUST" sheetId="4" state="visible" r:id="rId4"/>
    <sheet xmlns:r="http://schemas.openxmlformats.org/officeDocument/2006/relationships" name="4_PLTS_CIRATA" sheetId="5" state="visible" r:id="rId5"/>
    <sheet xmlns:r="http://schemas.openxmlformats.org/officeDocument/2006/relationships" name="5_SLL_MARGI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Rp&quot;#,##0&quot; M&quot;;[Red](&quot;Rp&quot;#,##0&quot; M&quot;)"/>
    <numFmt numFmtId="165" formatCode="0&quot; bps&quot;"/>
    <numFmt numFmtId="166" formatCode="0.0%"/>
    <numFmt numFmtId="167" formatCode="&quot;Rp&quot;#,##0"/>
  </numFmts>
  <fonts count="10">
    <font>
      <name val="Calibri"/>
      <family val="2"/>
      <color theme="1"/>
      <sz val="11"/>
      <scheme val="minor"/>
    </font>
    <font>
      <name val="Arial"/>
      <b val="1"/>
      <color rgb="FFFFFFFF"/>
      <sz val="13"/>
    </font>
    <font>
      <name val="Arial"/>
      <i val="1"/>
      <color rgb="FF555555"/>
      <sz val="9"/>
    </font>
    <font>
      <name val="Arial"/>
      <b val="1"/>
      <color rgb="FF000000"/>
      <sz val="10"/>
    </font>
    <font>
      <name val="Arial"/>
      <color rgb="FF000000"/>
      <sz val="10"/>
    </font>
    <font>
      <name val="Arial"/>
      <i val="1"/>
      <color rgb="FF555555"/>
      <sz val="8.5"/>
    </font>
    <font>
      <name val="Arial"/>
      <b val="1"/>
      <color rgb="FF000000"/>
      <sz val="10.5"/>
    </font>
    <font>
      <name val="Arial"/>
      <b val="1"/>
      <color rgb="FF0D47A1"/>
      <sz val="10"/>
    </font>
    <font>
      <name val="Arial"/>
      <b val="1"/>
      <color rgb="FF000000"/>
      <sz val="11"/>
    </font>
    <font>
      <name val="Arial"/>
      <color rgb="FF2E7D32"/>
      <sz val="10"/>
    </font>
  </fonts>
  <fills count="7">
    <fill>
      <patternFill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E0E0E0"/>
      </patternFill>
    </fill>
    <fill>
      <patternFill patternType="solid">
        <fgColor rgb="FFF0F4FF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wrapText="1" indent="1"/>
    </xf>
    <xf numFmtId="0" fontId="3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 wrapText="1"/>
    </xf>
    <xf numFmtId="0" fontId="6" fillId="4" borderId="0" pivotButton="0" quotePrefix="0" xfId="0"/>
    <xf numFmtId="10" fontId="7" fillId="5" borderId="1" pivotButton="0" quotePrefix="0" xfId="0"/>
    <xf numFmtId="164" fontId="7" fillId="5" borderId="1" pivotButton="0" quotePrefix="0" xfId="0"/>
    <xf numFmtId="3" fontId="7" fillId="5" borderId="1" pivotButton="0" quotePrefix="0" xfId="0"/>
    <xf numFmtId="10" fontId="4" fillId="0" borderId="1" pivotButton="0" quotePrefix="0" xfId="0"/>
    <xf numFmtId="165" fontId="8" fillId="6" borderId="1" pivotButton="0" quotePrefix="0" xfId="0"/>
    <xf numFmtId="164" fontId="8" fillId="6" borderId="1" pivotButton="0" quotePrefix="0" xfId="0"/>
    <xf numFmtId="0" fontId="8" fillId="6" borderId="1" pivotButton="0" quotePrefix="0" xfId="0"/>
    <xf numFmtId="166" fontId="7" fillId="5" borderId="1" pivotButton="0" quotePrefix="0" xfId="0"/>
    <xf numFmtId="4" fontId="4" fillId="0" borderId="1" pivotButton="0" quotePrefix="0" xfId="0"/>
    <xf numFmtId="4" fontId="3" fillId="0" borderId="1" pivotButton="0" quotePrefix="0" xfId="0"/>
    <xf numFmtId="166" fontId="3" fillId="0" borderId="1" pivotButton="0" quotePrefix="0" xfId="0"/>
    <xf numFmtId="4" fontId="9" fillId="0" borderId="1" pivotButton="0" quotePrefix="0" xfId="0"/>
    <xf numFmtId="4" fontId="8" fillId="6" borderId="1" pivotButton="0" quotePrefix="0" xfId="0"/>
    <xf numFmtId="166" fontId="4" fillId="0" borderId="1" pivotButton="0" quotePrefix="0" xfId="0"/>
    <xf numFmtId="10" fontId="8" fillId="6" borderId="1" pivotButton="0" quotePrefix="0" xfId="0"/>
    <xf numFmtId="167" fontId="7" fillId="5" borderId="1" pivotButton="0" quotePrefix="0" xfId="0"/>
    <xf numFmtId="167" fontId="8" fillId="6" borderId="1" pivotButton="0" quotePrefix="0" xfId="0"/>
    <xf numFmtId="164" fontId="4" fillId="0" borderId="1" pivotButton="0" quotePrefix="0" xfId="0"/>
    <xf numFmtId="3" fontId="4" fillId="0" borderId="1" pivotButton="0" quotePrefix="0" xfId="0"/>
    <xf numFmtId="0" fontId="3" fillId="4" borderId="0" applyAlignment="1" pivotButton="0" quotePrefix="0" xfId="0">
      <alignment vertical="center"/>
    </xf>
    <xf numFmtId="165" fontId="7" fillId="5" borderId="1" pivotButton="0" quotePrefix="0" xfId="0"/>
    <xf numFmtId="0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4" customWidth="1" min="2" max="2"/>
    <col width="78" customWidth="1" min="3" max="3"/>
    <col width="3" customWidth="1" min="4" max="4"/>
  </cols>
  <sheetData>
    <row r="2" ht="22" customHeight="1">
      <c r="B2" s="1" t="inlineStr">
        <is>
          <t>GREEN FINANCE &amp; ESG — KALKULATOR 6-SHEET</t>
        </is>
      </c>
    </row>
    <row r="3">
      <c r="B3" s="2" t="inlineStr">
        <is>
          <t>Companion Excel untuk artikel stdsquare² 'Green Finance &amp; ESG Investing dari Nol'. Sel hitam = formula hidup; ubah sel biru (input) dan greenium/skor ESG/valuasi menghitung ulang.</t>
        </is>
      </c>
    </row>
    <row r="5">
      <c r="B5" s="3" t="inlineStr">
        <is>
          <t>ALUR KERJA:</t>
        </is>
      </c>
    </row>
    <row r="6" ht="42" customHeight="1">
      <c r="B6" s="3" t="inlineStr">
        <is>
          <t>1. 1_GREENIUM</t>
        </is>
      </c>
      <c r="C6" s="4" t="inlineStr">
        <is>
          <t>Greenium = Yield konvensional − Yield green (bps) + penghematan biaya bunga tahunan. Kasus: 4,45% − 4,20% = 25 bps; issuance Rp 5 T → hemat Rp 12,5 M/th. + tabel referensi greenium lintas pasar.</t>
        </is>
      </c>
    </row>
    <row r="7" ht="42" customHeight="1">
      <c r="B7" s="3" t="inlineStr">
        <is>
          <t>2. 2_ESG_SCORING</t>
        </is>
      </c>
      <c r="C7" s="4" t="inlineStr">
        <is>
          <t>Agregasi skor ESG berbobot (E/S/G + sub-kriteria). SUMPRODUCT(skor, bobot) per pilar → skor komposit. Ilustratif — menunjukkan mengapa skor per-pilar dipisah (E tinggi bisa sembunyikan G rendah).</t>
        </is>
      </c>
    </row>
    <row r="8" ht="42" customHeight="1">
      <c r="B8" s="3" t="inlineStr">
        <is>
          <t>3. 3_ESG_DCF_ADJUST</t>
        </is>
      </c>
      <c r="C8" s="4" t="inlineStr">
        <is>
          <t>Tiga penyesuaian ESG ke DCF: (1) carbon risk premium di cost of equity; (2) carbon tax ke cash flow (8 jt ton × Rp 30 → Rp 240 jt); (3) stranded-asset haircut di terminal value. Kasus PT Power Nusantara + Cek Pemahaman #2 (Ke 12%→12,6%, TV 8.000→5.600).</t>
        </is>
      </c>
    </row>
    <row r="9" ht="42" customHeight="1">
      <c r="B9" s="3" t="inlineStr">
        <is>
          <t>4. 4_PLTS_CIRATA</t>
        </is>
      </c>
      <c r="C9" s="4" t="inlineStr">
        <is>
          <t>Valuasi proyek renewable dari nol: Revenue (100 MW × 1.500 jam × Rp 1.200) → EBIT → FCFF Rp 131 M → diskonto 25 th @8% → EV ≈ Rp 1.405 M, NPV +Rp 605 M. Renewable = discount rate lebih rendah, TV tak terancam stranded.</t>
        </is>
      </c>
    </row>
    <row r="10" ht="42" customHeight="1">
      <c r="B10" s="3" t="inlineStr">
        <is>
          <t>5. 5_SLL_MARGIN</t>
        </is>
      </c>
      <c r="C10" s="4" t="inlineStr">
        <is>
          <t>Sustainability-Linked Loan: margin ratchet terikat pencapaian KPI ESG. KPI tercapai → margin turun; gagal → margin naik. ESG terintegrasi ke biaya modal langsung.</t>
        </is>
      </c>
    </row>
    <row r="12">
      <c r="B12" s="3" t="inlineStr">
        <is>
          <t>KONVENSI WARNA:</t>
        </is>
      </c>
    </row>
    <row r="13">
      <c r="B13" s="5" t="inlineStr">
        <is>
          <t>Biru tebal</t>
        </is>
      </c>
      <c r="C13" s="6" t="inlineStr">
        <is>
          <t>Input — boleh diubah (yield, bobot, premium, haircut, KPI).</t>
        </is>
      </c>
    </row>
    <row r="14">
      <c r="B14" s="5" t="inlineStr">
        <is>
          <t>Hitam</t>
        </is>
      </c>
      <c r="C14" s="6" t="inlineStr">
        <is>
          <t>Formula — hasil kalkulasi.</t>
        </is>
      </c>
    </row>
    <row r="15">
      <c r="B15" s="5" t="inlineStr">
        <is>
          <t>Hijau</t>
        </is>
      </c>
      <c r="C15" s="6" t="inlineStr">
        <is>
          <t>Link antar-sheet.</t>
        </is>
      </c>
    </row>
    <row r="16">
      <c r="B16" s="5" t="inlineStr">
        <is>
          <t>Kuning</t>
        </is>
      </c>
      <c r="C16" s="6" t="inlineStr">
        <is>
          <t>Hasil akhir (greenium, skor, NPV, margin).</t>
        </is>
      </c>
    </row>
    <row r="18" ht="40" customHeight="1">
      <c r="B18" s="6" t="inlineStr">
        <is>
          <t>Sumber kasus: Green Sukuk Negara 2018 (greenium 25 bps), PT Power Nusantara &amp; PLTS Cirata (ilustratif), Cek Pemahaman artikel. Sheet 2 (ESG scoring) = kerangka ilustratif, bukan skor emiten spesifik. Satuan: 'M' = miliar Rupiah.</t>
        </is>
      </c>
    </row>
  </sheetData>
  <mergeCells count="2">
    <mergeCell ref="B3:C3"/>
    <mergeCell ref="B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G16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18" customWidth="1" min="3" max="3"/>
    <col width="4" customWidth="1" min="4" max="4"/>
    <col width="34" customWidth="1" min="5" max="5"/>
    <col width="16" customWidth="1" min="6" max="6"/>
    <col width="34" customWidth="1" min="7" max="7"/>
  </cols>
  <sheetData>
    <row r="2" ht="22" customHeight="1">
      <c r="B2" s="1" t="inlineStr">
        <is>
          <t>1. GREENIUM — SELISIH YIELD GREEN vs KONVENSIONAL</t>
        </is>
      </c>
    </row>
    <row r="3">
      <c r="B3" s="2" t="inlineStr">
        <is>
          <t>Greenium = Yield konvensional − Yield green. Positif = investor bayar premium untuk label green (cost of debt penerbit lebih murah).</t>
        </is>
      </c>
    </row>
    <row r="5" ht="16" customHeight="1">
      <c r="B5" s="7" t="inlineStr">
        <is>
          <t>TABEL REFERENSI GREENIUM LINTAS PASAR</t>
        </is>
      </c>
    </row>
    <row r="6">
      <c r="B6" s="5" t="inlineStr">
        <is>
          <t>Yield sukuk/obligasi konvensional (%)</t>
        </is>
      </c>
      <c r="C6" s="8" t="n">
        <v>0.0445</v>
      </c>
      <c r="E6" s="3" t="inlineStr">
        <is>
          <t>Pasar / Penerbit</t>
        </is>
      </c>
      <c r="F6" s="3" t="inlineStr">
        <is>
          <t>Greenium (bps)</t>
        </is>
      </c>
      <c r="G6" s="3" t="inlineStr">
        <is>
          <t>Catatan</t>
        </is>
      </c>
    </row>
    <row r="7" ht="26" customHeight="1">
      <c r="B7" s="5" t="inlineStr">
        <is>
          <t>Yield green sukuk/bond (%)</t>
        </is>
      </c>
      <c r="C7" s="8" t="n">
        <v>0.042</v>
      </c>
      <c r="E7" s="4" t="inlineStr">
        <is>
          <t>Sovereign green bond Eropa</t>
        </is>
      </c>
      <c r="F7" s="5" t="inlineStr">
        <is>
          <t>+1 s/d +5</t>
        </is>
      </c>
      <c r="G7" s="4" t="inlineStr">
        <is>
          <t>Sangat likuid, demand ESG kuat</t>
        </is>
      </c>
    </row>
    <row r="8" ht="26" customHeight="1">
      <c r="B8" s="5" t="inlineStr">
        <is>
          <t>Nilai penerbitan (Rp miliar)</t>
        </is>
      </c>
      <c r="C8" s="9" t="n">
        <v>5000</v>
      </c>
      <c r="E8" s="4" t="inlineStr">
        <is>
          <t>Sovereign green sukuk Indonesia</t>
        </is>
      </c>
      <c r="F8" s="5" t="inlineStr">
        <is>
          <t>+15 s/d +30</t>
        </is>
      </c>
      <c r="G8" s="4" t="inlineStr">
        <is>
          <t>Premium syariah + green</t>
        </is>
      </c>
    </row>
    <row r="9" ht="26" customHeight="1">
      <c r="B9" s="5" t="inlineStr">
        <is>
          <t>Tenor (tahun)</t>
        </is>
      </c>
      <c r="C9" s="10" t="n">
        <v>5</v>
      </c>
      <c r="E9" s="4" t="inlineStr">
        <is>
          <t>Corporate green bond IG Asia</t>
        </is>
      </c>
      <c r="F9" s="5" t="inlineStr">
        <is>
          <t>−2 s/d +3</t>
        </is>
      </c>
      <c r="G9" s="4" t="inlineStr">
        <is>
          <t>Likuiditas lebih rendah</t>
        </is>
      </c>
    </row>
    <row r="10" ht="26" customHeight="1">
      <c r="E10" s="4" t="inlineStr">
        <is>
          <t>Corporate green bond HY EM</t>
        </is>
      </c>
      <c r="F10" s="5" t="inlineStr">
        <is>
          <t>−10 s/d −5</t>
        </is>
      </c>
      <c r="G10" s="4" t="inlineStr">
        <is>
          <t>Kompensasi risiko greenwashing</t>
        </is>
      </c>
    </row>
    <row r="11" ht="26" customHeight="1">
      <c r="B11" s="7" t="inlineStr">
        <is>
          <t>HASIL</t>
        </is>
      </c>
      <c r="E11" s="4" t="inlineStr">
        <is>
          <t>Green sukuk korporat Indonesia</t>
        </is>
      </c>
      <c r="F11" s="5" t="inlineStr">
        <is>
          <t>+5 s/d +20</t>
        </is>
      </c>
      <c r="G11" s="4" t="inlineStr">
        <is>
          <t>Pasar syariah + ESG demand</t>
        </is>
      </c>
    </row>
    <row r="12">
      <c r="B12" s="3" t="inlineStr">
        <is>
          <t>Greenium (desimal) = Yconv − Ygreen</t>
        </is>
      </c>
      <c r="C12" s="11">
        <f>C6-C7</f>
        <v/>
      </c>
    </row>
    <row r="13" ht="30" customHeight="1">
      <c r="B13" s="3" t="inlineStr">
        <is>
          <t>Greenium (bps) = greenium × 10.000</t>
        </is>
      </c>
      <c r="C13" s="12">
        <f>C12*10000</f>
        <v/>
      </c>
      <c r="E13" s="6" t="inlineStr">
        <is>
          <t>Green Sukuk Negara 2018: yield 3,75% vs konvensional 4,00% = greenium +25 bps (di tengah rentang sovereign sukuk Indonesia +15..+30).</t>
        </is>
      </c>
    </row>
    <row r="14">
      <c r="B14" s="3" t="inlineStr">
        <is>
          <t>Penghematan bunga / tahun = greenium × nilai penerbitan</t>
        </is>
      </c>
      <c r="C14" s="13">
        <f>C12*C8</f>
        <v/>
      </c>
    </row>
    <row r="15">
      <c r="B15" s="3" t="inlineStr">
        <is>
          <t>Penghematan kumulatif = hemat/th × tenor</t>
        </is>
      </c>
      <c r="C15" s="13">
        <f>C14*C9</f>
        <v/>
      </c>
    </row>
    <row r="16">
      <c r="B16" s="3" t="inlineStr">
        <is>
          <t>Interpretasi</t>
        </is>
      </c>
      <c r="C16" s="14">
        <f>IF(C12&gt;0,"POSITIF — investor bayar premium, cost of debt lebih murah",IF(C12&lt;0,"NEGATIF — kompensasi risiko/likuiditas","NETRAL"))</f>
        <v/>
      </c>
    </row>
  </sheetData>
  <mergeCells count="6">
    <mergeCell ref="B3:G3"/>
    <mergeCell ref="B2:G2"/>
    <mergeCell ref="E13:G13"/>
    <mergeCell ref="B11:C11"/>
    <mergeCell ref="B5:G5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G26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34" customWidth="1" min="3" max="3"/>
    <col width="14" customWidth="1" min="4" max="4"/>
    <col width="14" customWidth="1" min="5" max="5"/>
    <col width="18" customWidth="1" min="6" max="6"/>
    <col width="28" customWidth="1" min="7" max="7"/>
  </cols>
  <sheetData>
    <row r="2" ht="22" customHeight="1">
      <c r="B2" s="1" t="inlineStr">
        <is>
          <t>2. AGREGASI SKOR ESG BERBOBOT (ilustratif)</t>
        </is>
      </c>
    </row>
    <row r="3">
      <c r="B3" s="2" t="inlineStr">
        <is>
          <t>Skor pilar = SUMPRODUCT(skor sub-kriteria, bobot). Skor komposit = SUMPRODUCT(skor pilar, bobot pilar). Skor 0-100.</t>
        </is>
      </c>
    </row>
    <row r="5" ht="16" customHeight="1">
      <c r="B5" s="7" t="inlineStr">
        <is>
          <t>SUB-KRITERIA PER PILAR (ubah skor &amp; bobot biru)</t>
        </is>
      </c>
    </row>
    <row r="6">
      <c r="B6" s="3" t="inlineStr">
        <is>
          <t>Pilar</t>
        </is>
      </c>
      <c r="C6" s="3" t="inlineStr">
        <is>
          <t>Sub-kriteria</t>
        </is>
      </c>
      <c r="D6" s="3" t="inlineStr">
        <is>
          <t>Skor (0-100)</t>
        </is>
      </c>
      <c r="E6" s="3" t="inlineStr">
        <is>
          <t>Bobot</t>
        </is>
      </c>
      <c r="F6" s="3" t="inlineStr">
        <is>
          <t>Kontribusi</t>
        </is>
      </c>
    </row>
    <row r="7">
      <c r="B7" s="5" t="inlineStr">
        <is>
          <t>Environmental</t>
        </is>
      </c>
      <c r="C7" s="4" t="inlineStr">
        <is>
          <t>Emisi karbon (Scope 1+2)</t>
        </is>
      </c>
      <c r="D7" s="10" t="n">
        <v>82</v>
      </c>
      <c r="E7" s="15" t="n">
        <v>0.4</v>
      </c>
      <c r="F7" s="16">
        <f>D7*E7</f>
        <v/>
      </c>
    </row>
    <row r="8">
      <c r="B8" s="5" t="inlineStr">
        <is>
          <t>Environmental</t>
        </is>
      </c>
      <c r="C8" s="4" t="inlineStr">
        <is>
          <t>Manajemen air &amp; limbah</t>
        </is>
      </c>
      <c r="D8" s="10" t="n">
        <v>75</v>
      </c>
      <c r="E8" s="15" t="n">
        <v>0.3</v>
      </c>
      <c r="F8" s="16">
        <f>D8*E8</f>
        <v/>
      </c>
    </row>
    <row r="9">
      <c r="B9" s="5" t="inlineStr">
        <is>
          <t>Environmental</t>
        </is>
      </c>
      <c r="C9" s="4" t="inlineStr">
        <is>
          <t>Transition/stranded risk</t>
        </is>
      </c>
      <c r="D9" s="10" t="n">
        <v>88</v>
      </c>
      <c r="E9" s="15" t="n">
        <v>0.3</v>
      </c>
      <c r="F9" s="16">
        <f>D9*E9</f>
        <v/>
      </c>
    </row>
    <row r="10">
      <c r="B10" s="3" t="inlineStr">
        <is>
          <t>Skor E (SUMPRODUCT)</t>
        </is>
      </c>
      <c r="D10" s="17">
        <f>SUMPRODUCT(D7:D9,E7:E9)</f>
        <v/>
      </c>
      <c r="E10" s="18">
        <f>SUM(E7:E9)</f>
        <v/>
      </c>
    </row>
    <row r="11">
      <c r="B11" s="5" t="inlineStr">
        <is>
          <t>Social</t>
        </is>
      </c>
      <c r="C11" s="4" t="inlineStr">
        <is>
          <t>Hak &amp; keselamatan tenaga kerja</t>
        </is>
      </c>
      <c r="D11" s="10" t="n">
        <v>70</v>
      </c>
      <c r="E11" s="15" t="n">
        <v>0.4</v>
      </c>
      <c r="F11" s="16">
        <f>D11*E11</f>
        <v/>
      </c>
    </row>
    <row r="12">
      <c r="B12" s="5" t="inlineStr">
        <is>
          <t>Social</t>
        </is>
      </c>
      <c r="C12" s="4" t="inlineStr">
        <is>
          <t>Hubungan komunitas (license-to-operate)</t>
        </is>
      </c>
      <c r="D12" s="10" t="n">
        <v>65</v>
      </c>
      <c r="E12" s="15" t="n">
        <v>0.3</v>
      </c>
      <c r="F12" s="16">
        <f>D12*E12</f>
        <v/>
      </c>
    </row>
    <row r="13">
      <c r="B13" s="5" t="inlineStr">
        <is>
          <t>Social</t>
        </is>
      </c>
      <c r="C13" s="4" t="inlineStr">
        <is>
          <t>Kualitas &amp; keamanan produk</t>
        </is>
      </c>
      <c r="D13" s="10" t="n">
        <v>78</v>
      </c>
      <c r="E13" s="15" t="n">
        <v>0.3</v>
      </c>
      <c r="F13" s="16">
        <f>D13*E13</f>
        <v/>
      </c>
    </row>
    <row r="14">
      <c r="B14" s="3" t="inlineStr">
        <is>
          <t>Skor S (SUMPRODUCT)</t>
        </is>
      </c>
      <c r="D14" s="17">
        <f>SUMPRODUCT(D11:D13,E11:E13)</f>
        <v/>
      </c>
      <c r="E14" s="18">
        <f>SUM(E11:E13)</f>
        <v/>
      </c>
    </row>
    <row r="15">
      <c r="B15" s="5" t="inlineStr">
        <is>
          <t>Governance</t>
        </is>
      </c>
      <c r="C15" s="4" t="inlineStr">
        <is>
          <t>Struktur &amp; independensi direksi</t>
        </is>
      </c>
      <c r="D15" s="10" t="n">
        <v>60</v>
      </c>
      <c r="E15" s="15" t="n">
        <v>0.4</v>
      </c>
      <c r="F15" s="16">
        <f>D15*E15</f>
        <v/>
      </c>
    </row>
    <row r="16">
      <c r="B16" s="5" t="inlineStr">
        <is>
          <t>Governance</t>
        </is>
      </c>
      <c r="C16" s="4" t="inlineStr">
        <is>
          <t>Kualitas audit &amp; transparansi</t>
        </is>
      </c>
      <c r="D16" s="10" t="n">
        <v>55</v>
      </c>
      <c r="E16" s="15" t="n">
        <v>0.35</v>
      </c>
      <c r="F16" s="16">
        <f>D16*E16</f>
        <v/>
      </c>
    </row>
    <row r="17">
      <c r="B17" s="5" t="inlineStr">
        <is>
          <t>Governance</t>
        </is>
      </c>
      <c r="C17" s="4" t="inlineStr">
        <is>
          <t>Related-party &amp; hak minoritas</t>
        </is>
      </c>
      <c r="D17" s="10" t="n">
        <v>58</v>
      </c>
      <c r="E17" s="15" t="n">
        <v>0.25</v>
      </c>
      <c r="F17" s="16">
        <f>D17*E17</f>
        <v/>
      </c>
    </row>
    <row r="18">
      <c r="B18" s="3" t="inlineStr">
        <is>
          <t>Skor G (SUMPRODUCT)</t>
        </is>
      </c>
      <c r="D18" s="17">
        <f>SUMPRODUCT(D15:D17,E15:E17)</f>
        <v/>
      </c>
      <c r="E18" s="18">
        <f>SUM(E15:E17)</f>
        <v/>
      </c>
    </row>
    <row r="20" ht="16" customHeight="1">
      <c r="B20" s="7" t="inlineStr">
        <is>
          <t>SKOR KOMPOSIT ESG (bobot antar-pilar biru)</t>
        </is>
      </c>
    </row>
    <row r="21">
      <c r="B21" s="3" t="inlineStr">
        <is>
          <t>Pilar</t>
        </is>
      </c>
      <c r="D21" s="3" t="inlineStr">
        <is>
          <t>Skor Pilar</t>
        </is>
      </c>
      <c r="E21" s="3" t="inlineStr">
        <is>
          <t>Bobot Pilar</t>
        </is>
      </c>
      <c r="F21" s="3" t="inlineStr">
        <is>
          <t>Kontribusi</t>
        </is>
      </c>
    </row>
    <row r="22">
      <c r="B22" s="5" t="inlineStr">
        <is>
          <t>Environmental</t>
        </is>
      </c>
      <c r="D22" s="19">
        <f>D10</f>
        <v/>
      </c>
      <c r="E22" s="15" t="n">
        <v>0.4</v>
      </c>
      <c r="F22" s="16">
        <f>D22*E22</f>
        <v/>
      </c>
    </row>
    <row r="23">
      <c r="B23" s="5" t="inlineStr">
        <is>
          <t>Social</t>
        </is>
      </c>
      <c r="D23" s="19">
        <f>D14</f>
        <v/>
      </c>
      <c r="E23" s="15" t="n">
        <v>0.3</v>
      </c>
      <c r="F23" s="16">
        <f>D23*E23</f>
        <v/>
      </c>
    </row>
    <row r="24">
      <c r="B24" s="5" t="inlineStr">
        <is>
          <t>Governance</t>
        </is>
      </c>
      <c r="D24" s="19">
        <f>D18</f>
        <v/>
      </c>
      <c r="E24" s="15" t="n">
        <v>0.3</v>
      </c>
      <c r="F24" s="16">
        <f>D24*E24</f>
        <v/>
      </c>
    </row>
    <row r="25">
      <c r="B25" s="3" t="inlineStr">
        <is>
          <t>SKOR KOMPOSIT ESG</t>
        </is>
      </c>
      <c r="D25" s="20">
        <f>SUMPRODUCT(D22:D24,E22:E24)/SUM(E22:E24)</f>
        <v/>
      </c>
      <c r="E25" s="5" t="inlineStr">
        <is>
          <t>Σ bobot</t>
        </is>
      </c>
      <c r="F25" s="21">
        <f>SUM(E22:E24)</f>
        <v/>
      </c>
    </row>
    <row r="26" ht="30" customHeight="1">
      <c r="B26" s="6" t="inlineStr">
        <is>
          <t>Pelajaran artikel: skor komposit menyembunyikan trade-off. Di sini E kuat (~81) tapi G lemah (~58) — mengandalkan satu angka menutupi tata kelola buruk. Selalu lihat skor per-pilar.</t>
        </is>
      </c>
    </row>
  </sheetData>
  <mergeCells count="5">
    <mergeCell ref="B3:G3"/>
    <mergeCell ref="B2:G2"/>
    <mergeCell ref="B20:G20"/>
    <mergeCell ref="B5:G5"/>
    <mergeCell ref="B26:G2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25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8" customWidth="1" min="3" max="3"/>
    <col width="40" customWidth="1" min="4" max="4"/>
  </cols>
  <sheetData>
    <row r="2" ht="22" customHeight="1">
      <c r="B2" s="1" t="inlineStr">
        <is>
          <t>3. TIGA PENYESUAIAN ESG KE DCF</t>
        </is>
      </c>
    </row>
    <row r="3">
      <c r="B3" s="2" t="inlineStr">
        <is>
          <t>PT Power Nusantara (utilitas 60% batu bara). (1) Carbon risk premium; (2) Carbon tax ke cash flow; (3) Stranded-asset haircut di TV.</t>
        </is>
      </c>
    </row>
    <row r="5" ht="16" customHeight="1">
      <c r="B5" s="7" t="inlineStr">
        <is>
          <t>PENYESUAIAN 1 — CARBON RISK PREMIUM di COST OF EQUITY</t>
        </is>
      </c>
    </row>
    <row r="6">
      <c r="B6" s="5" t="inlineStr">
        <is>
          <t>Cost of equity standar (CAPM)</t>
        </is>
      </c>
      <c r="C6" s="8" t="n">
        <v>0.11</v>
      </c>
    </row>
    <row r="7">
      <c r="B7" s="5" t="inlineStr">
        <is>
          <t>Carbon Risk Premium (CRP)</t>
        </is>
      </c>
      <c r="C7" s="8" t="n">
        <v>0.005</v>
      </c>
    </row>
    <row r="8">
      <c r="B8" s="3" t="inlineStr">
        <is>
          <t>Cost of equity ESG = Ke + CRP</t>
        </is>
      </c>
      <c r="C8" s="22">
        <f>C6+C7</f>
        <v/>
      </c>
    </row>
    <row r="9">
      <c r="B9" s="5" t="inlineStr">
        <is>
          <t>WACC standar</t>
        </is>
      </c>
      <c r="C9" s="8" t="n">
        <v>0.08500000000000001</v>
      </c>
    </row>
    <row r="10">
      <c r="B10" s="5" t="inlineStr">
        <is>
          <t>Bobot ekuitas dalam WACC (untuk propagasi CRP)</t>
        </is>
      </c>
      <c r="C10" s="15" t="n">
        <v>0.8</v>
      </c>
    </row>
    <row r="11">
      <c r="B11" s="3" t="inlineStr">
        <is>
          <t>WACC ESG ≈ WACC + bobot ekuitas × CRP</t>
        </is>
      </c>
      <c r="C11" s="22">
        <f>C9+C10*C7</f>
        <v/>
      </c>
    </row>
    <row r="13" ht="16" customHeight="1">
      <c r="B13" s="7" t="inlineStr">
        <is>
          <t>PENYESUAIAN 2 — CARBON TAX ke CASH FLOW</t>
        </is>
      </c>
    </row>
    <row r="14">
      <c r="B14" s="5" t="inlineStr">
        <is>
          <t>Emisi Scope 1 (ton CO2/tahun)</t>
        </is>
      </c>
      <c r="C14" s="10" t="n">
        <v>8000000</v>
      </c>
    </row>
    <row r="15">
      <c r="B15" s="5" t="inlineStr">
        <is>
          <t>Tarif carbon tax (Rp/ton CO2)</t>
        </is>
      </c>
      <c r="C15" s="23" t="n">
        <v>30</v>
      </c>
    </row>
    <row r="16">
      <c r="B16" s="3" t="inlineStr">
        <is>
          <t>Beban carbon tax tahunan = emisi × tarif (Rp)</t>
        </is>
      </c>
      <c r="C16" s="24">
        <f>C14*C15</f>
        <v/>
      </c>
    </row>
    <row r="17">
      <c r="B17" s="6" t="inlineStr">
        <is>
          <t>8 juta ton × Rp 30 = Rp 240.000.000 (Rp 240 juta) — asumsi artikel ~1% dari EBIT PT Power.</t>
        </is>
      </c>
    </row>
    <row r="19" ht="16" customHeight="1">
      <c r="B19" s="7" t="inlineStr">
        <is>
          <t>PENYESUAIAN 3 — STRANDED-ASSET HAIRCUT di TERMINAL VALUE</t>
        </is>
      </c>
    </row>
    <row r="20">
      <c r="B20" s="5" t="inlineStr">
        <is>
          <t>Terminal Value standar (Rp miliar)</t>
        </is>
      </c>
      <c r="C20" s="9" t="n">
        <v>8000</v>
      </c>
    </row>
    <row r="21">
      <c r="B21" s="5" t="inlineStr">
        <is>
          <t>Haircut stranded assets (h)</t>
        </is>
      </c>
      <c r="C21" s="15" t="n">
        <v>0.3</v>
      </c>
    </row>
    <row r="22">
      <c r="B22" s="3" t="inlineStr">
        <is>
          <t>TV ESG = TV × (1 − h)</t>
        </is>
      </c>
      <c r="C22" s="13">
        <f>C20*(1-C21)</f>
        <v/>
      </c>
    </row>
    <row r="23">
      <c r="B23" s="3" t="inlineStr">
        <is>
          <t>Pengurangan TV (Rp miliar)</t>
        </is>
      </c>
      <c r="C23" s="25">
        <f>C20*C21</f>
        <v/>
      </c>
    </row>
    <row r="25" ht="30" customHeight="1">
      <c r="B25" s="6" t="inlineStr">
        <is>
          <t>Nilai default = Cek Pemahaman #2: TV 8.000 × (1−0,30) = 5.600. Untuk penyesuaian 1, ganti Ke jadi 12% dan CRP jadi 0,6% → Ke ESG 12,6% (jawaban Cek #2a).</t>
        </is>
      </c>
    </row>
  </sheetData>
  <mergeCells count="6">
    <mergeCell ref="B3:D3"/>
    <mergeCell ref="B19:D19"/>
    <mergeCell ref="B5:D5"/>
    <mergeCell ref="B13:D13"/>
    <mergeCell ref="B25:D25"/>
    <mergeCell ref="B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G48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18" customWidth="1" min="3" max="3"/>
    <col width="4" customWidth="1" min="4" max="4"/>
    <col width="12" customWidth="1" min="5" max="5"/>
    <col width="18" customWidth="1" min="6" max="6"/>
    <col width="18" customWidth="1" min="7" max="7"/>
  </cols>
  <sheetData>
    <row r="2" ht="22" customHeight="1">
      <c r="B2" s="1" t="inlineStr">
        <is>
          <t>4. VALUASI PLTS CIRATA (100 MW) — DARI NOL</t>
        </is>
      </c>
    </row>
    <row r="3">
      <c r="B3" s="2" t="inlineStr">
        <is>
          <t>Revenue → EBIT → FCFF → diskonto 25 th. Renewable: discount rate lebih rendah, TV tak terancam stranded.</t>
        </is>
      </c>
    </row>
    <row r="5" ht="16" customHeight="1">
      <c r="B5" s="7" t="inlineStr">
        <is>
          <t>MEMBANGUN FCFF (ubah sel biru)</t>
        </is>
      </c>
    </row>
    <row r="6">
      <c r="B6" s="5" t="inlineStr">
        <is>
          <t>Kapasitas (MW)</t>
        </is>
      </c>
      <c r="C6" s="10" t="n">
        <v>100</v>
      </c>
    </row>
    <row r="7">
      <c r="B7" s="5" t="inlineStr">
        <is>
          <t>Faktor kapasitas (jam ekuivalen/th)</t>
        </is>
      </c>
      <c r="C7" s="10" t="n">
        <v>1500</v>
      </c>
    </row>
    <row r="8">
      <c r="B8" s="5" t="inlineStr">
        <is>
          <t>Tarif (Rp/kWh)</t>
        </is>
      </c>
      <c r="C8" s="23" t="n">
        <v>1200</v>
      </c>
    </row>
    <row r="9">
      <c r="B9" s="3" t="inlineStr">
        <is>
          <t>Revenue = MW×1000 × jam × tarif (Rp miliar)</t>
        </is>
      </c>
      <c r="C9" s="25">
        <f>C6*1000*C7*C8/1000000000</f>
        <v/>
      </c>
    </row>
    <row r="10">
      <c r="B10" s="5" t="inlineStr">
        <is>
          <t>Capex (Rp miliar)</t>
        </is>
      </c>
      <c r="C10" s="9" t="n">
        <v>800</v>
      </c>
    </row>
    <row r="11">
      <c r="B11" s="5" t="inlineStr">
        <is>
          <t>OpEx (% capex)</t>
        </is>
      </c>
      <c r="C11" s="15" t="n">
        <v>0.015</v>
      </c>
    </row>
    <row r="12">
      <c r="B12" s="3" t="inlineStr">
        <is>
          <t>OpEx = %×capex (Rp miliar)</t>
        </is>
      </c>
      <c r="C12" s="25">
        <f>C11*C10</f>
        <v/>
      </c>
    </row>
    <row r="13">
      <c r="B13" s="3" t="inlineStr">
        <is>
          <t>EBIT = Revenue − OpEx</t>
        </is>
      </c>
      <c r="C13" s="25">
        <f>C9-C12</f>
        <v/>
      </c>
    </row>
    <row r="14">
      <c r="B14" s="5" t="inlineStr">
        <is>
          <t>Tarif pajak</t>
        </is>
      </c>
      <c r="C14" s="15" t="n">
        <v>0.22</v>
      </c>
    </row>
    <row r="15">
      <c r="B15" s="3" t="inlineStr">
        <is>
          <t>FCFF = EBIT × (1 − pajak)</t>
        </is>
      </c>
      <c r="C15" s="13">
        <f>C13*(1-C14)</f>
        <v/>
      </c>
    </row>
    <row r="17" ht="16" customHeight="1">
      <c r="B17" s="7" t="inlineStr">
        <is>
          <t>PARAMETER DISKONTO</t>
        </is>
      </c>
    </row>
    <row r="18">
      <c r="B18" s="5" t="inlineStr">
        <is>
          <t>Discount rate (renewable, tanpa CRP)</t>
        </is>
      </c>
      <c r="C18" s="8" t="n">
        <v>0.08</v>
      </c>
    </row>
    <row r="19">
      <c r="B19" s="5" t="inlineStr">
        <is>
          <t>Umur ekonomis (tahun)</t>
        </is>
      </c>
      <c r="C19" s="10" t="n">
        <v>25</v>
      </c>
    </row>
    <row r="20">
      <c r="B20" s="5" t="inlineStr">
        <is>
          <t>Terminal/scrap value tahun akhir (Rp miliar)</t>
        </is>
      </c>
      <c r="C20" s="9" t="n">
        <v>50</v>
      </c>
    </row>
    <row r="22" ht="16" customHeight="1">
      <c r="B22" s="7" t="inlineStr">
        <is>
          <t>DISKONTO ARUS KAS (tahun 1-25)</t>
        </is>
      </c>
    </row>
    <row r="23">
      <c r="E23" s="3" t="inlineStr">
        <is>
          <t>Tahun t</t>
        </is>
      </c>
      <c r="F23" s="3" t="inlineStr">
        <is>
          <t>FCFF + TV</t>
        </is>
      </c>
      <c r="G23" s="3" t="inlineStr">
        <is>
          <t>PV</t>
        </is>
      </c>
    </row>
    <row r="24">
      <c r="E24" s="26">
        <f>IF(1&lt;=$C$19,1,"")</f>
        <v/>
      </c>
      <c r="F24" s="25">
        <f>IF(E24="","",$C$15+IF(E24=$C$19,$C$20,0))</f>
        <v/>
      </c>
      <c r="G24" s="25">
        <f>IF(E24="","",F24/(1+$C$18)^E24)</f>
        <v/>
      </c>
    </row>
    <row r="25">
      <c r="E25" s="26">
        <f>IF(2&lt;=$C$19,2,"")</f>
        <v/>
      </c>
      <c r="F25" s="25">
        <f>IF(E25="","",$C$15+IF(E25=$C$19,$C$20,0))</f>
        <v/>
      </c>
      <c r="G25" s="25">
        <f>IF(E25="","",F25/(1+$C$18)^E25)</f>
        <v/>
      </c>
    </row>
    <row r="26">
      <c r="E26" s="26">
        <f>IF(3&lt;=$C$19,3,"")</f>
        <v/>
      </c>
      <c r="F26" s="25">
        <f>IF(E26="","",$C$15+IF(E26=$C$19,$C$20,0))</f>
        <v/>
      </c>
      <c r="G26" s="25">
        <f>IF(E26="","",F26/(1+$C$18)^E26)</f>
        <v/>
      </c>
    </row>
    <row r="27">
      <c r="E27" s="26">
        <f>IF(4&lt;=$C$19,4,"")</f>
        <v/>
      </c>
      <c r="F27" s="25">
        <f>IF(E27="","",$C$15+IF(E27=$C$19,$C$20,0))</f>
        <v/>
      </c>
      <c r="G27" s="25">
        <f>IF(E27="","",F27/(1+$C$18)^E27)</f>
        <v/>
      </c>
    </row>
    <row r="28">
      <c r="E28" s="26">
        <f>IF(5&lt;=$C$19,5,"")</f>
        <v/>
      </c>
      <c r="F28" s="25">
        <f>IF(E28="","",$C$15+IF(E28=$C$19,$C$20,0))</f>
        <v/>
      </c>
      <c r="G28" s="25">
        <f>IF(E28="","",F28/(1+$C$18)^E28)</f>
        <v/>
      </c>
    </row>
    <row r="29">
      <c r="E29" s="26">
        <f>IF(6&lt;=$C$19,6,"")</f>
        <v/>
      </c>
      <c r="F29" s="25">
        <f>IF(E29="","",$C$15+IF(E29=$C$19,$C$20,0))</f>
        <v/>
      </c>
      <c r="G29" s="25">
        <f>IF(E29="","",F29/(1+$C$18)^E29)</f>
        <v/>
      </c>
    </row>
    <row r="30">
      <c r="E30" s="26">
        <f>IF(7&lt;=$C$19,7,"")</f>
        <v/>
      </c>
      <c r="F30" s="25">
        <f>IF(E30="","",$C$15+IF(E30=$C$19,$C$20,0))</f>
        <v/>
      </c>
      <c r="G30" s="25">
        <f>IF(E30="","",F30/(1+$C$18)^E30)</f>
        <v/>
      </c>
    </row>
    <row r="31">
      <c r="B31" s="27" t="inlineStr">
        <is>
          <t>HASIL VALUASI</t>
        </is>
      </c>
      <c r="E31" s="26">
        <f>IF(8&lt;=$C$19,8,"")</f>
        <v/>
      </c>
      <c r="F31" s="25">
        <f>IF(E31="","",$C$15+IF(E31=$C$19,$C$20,0))</f>
        <v/>
      </c>
      <c r="G31" s="25">
        <f>IF(E31="","",F31/(1+$C$18)^E31)</f>
        <v/>
      </c>
    </row>
    <row r="32">
      <c r="B32" s="3" t="inlineStr">
        <is>
          <t>Enterprise Value = Σ PV</t>
        </is>
      </c>
      <c r="C32" s="13">
        <f>SUM(G24:G48)</f>
        <v/>
      </c>
      <c r="E32" s="26">
        <f>IF(9&lt;=$C$19,9,"")</f>
        <v/>
      </c>
      <c r="F32" s="25">
        <f>IF(E32="","",$C$15+IF(E32=$C$19,$C$20,0))</f>
        <v/>
      </c>
      <c r="G32" s="25">
        <f>IF(E32="","",F32/(1+$C$18)^E32)</f>
        <v/>
      </c>
    </row>
    <row r="33">
      <c r="B33" s="3" t="inlineStr">
        <is>
          <t>NPV = EV − Capex</t>
        </is>
      </c>
      <c r="C33" s="13">
        <f>SUM(G24:G48)-C10</f>
        <v/>
      </c>
      <c r="E33" s="26">
        <f>IF(10&lt;=$C$19,10,"")</f>
        <v/>
      </c>
      <c r="F33" s="25">
        <f>IF(E33="","",$C$15+IF(E33=$C$19,$C$20,0))</f>
        <v/>
      </c>
      <c r="G33" s="25">
        <f>IF(E33="","",F33/(1+$C$18)^E33)</f>
        <v/>
      </c>
    </row>
    <row r="34">
      <c r="B34" s="3" t="inlineStr">
        <is>
          <t>Keputusan</t>
        </is>
      </c>
      <c r="C34" s="14">
        <f>IF(SUM(G24:G48)-C10&gt;0,"NPV POSITIF — layak","NPV NEGATIF")</f>
        <v/>
      </c>
      <c r="E34" s="26">
        <f>IF(11&lt;=$C$19,11,"")</f>
        <v/>
      </c>
      <c r="F34" s="25">
        <f>IF(E34="","",$C$15+IF(E34=$C$19,$C$20,0))</f>
        <v/>
      </c>
      <c r="G34" s="25">
        <f>IF(E34="","",F34/(1+$C$18)^E34)</f>
        <v/>
      </c>
    </row>
    <row r="35" ht="30" customHeight="1">
      <c r="B35" s="6" t="inlineStr">
        <is>
          <t>Target artikel: EV ≈ Rp 1.405 M, NPV ≈ +Rp 605 M. FCFF Rp 131 M/th, diskonto 8%, 25 th + scrap Rp 50 M.</t>
        </is>
      </c>
      <c r="E35" s="26">
        <f>IF(12&lt;=$C$19,12,"")</f>
        <v/>
      </c>
      <c r="F35" s="25">
        <f>IF(E35="","",$C$15+IF(E35=$C$19,$C$20,0))</f>
        <v/>
      </c>
      <c r="G35" s="25">
        <f>IF(E35="","",F35/(1+$C$18)^E35)</f>
        <v/>
      </c>
    </row>
    <row r="36">
      <c r="E36" s="26">
        <f>IF(13&lt;=$C$19,13,"")</f>
        <v/>
      </c>
      <c r="F36" s="25">
        <f>IF(E36="","",$C$15+IF(E36=$C$19,$C$20,0))</f>
        <v/>
      </c>
      <c r="G36" s="25">
        <f>IF(E36="","",F36/(1+$C$18)^E36)</f>
        <v/>
      </c>
    </row>
    <row r="37">
      <c r="E37" s="26">
        <f>IF(14&lt;=$C$19,14,"")</f>
        <v/>
      </c>
      <c r="F37" s="25">
        <f>IF(E37="","",$C$15+IF(E37=$C$19,$C$20,0))</f>
        <v/>
      </c>
      <c r="G37" s="25">
        <f>IF(E37="","",F37/(1+$C$18)^E37)</f>
        <v/>
      </c>
    </row>
    <row r="38">
      <c r="E38" s="26">
        <f>IF(15&lt;=$C$19,15,"")</f>
        <v/>
      </c>
      <c r="F38" s="25">
        <f>IF(E38="","",$C$15+IF(E38=$C$19,$C$20,0))</f>
        <v/>
      </c>
      <c r="G38" s="25">
        <f>IF(E38="","",F38/(1+$C$18)^E38)</f>
        <v/>
      </c>
    </row>
    <row r="39">
      <c r="E39" s="26">
        <f>IF(16&lt;=$C$19,16,"")</f>
        <v/>
      </c>
      <c r="F39" s="25">
        <f>IF(E39="","",$C$15+IF(E39=$C$19,$C$20,0))</f>
        <v/>
      </c>
      <c r="G39" s="25">
        <f>IF(E39="","",F39/(1+$C$18)^E39)</f>
        <v/>
      </c>
    </row>
    <row r="40">
      <c r="E40" s="26">
        <f>IF(17&lt;=$C$19,17,"")</f>
        <v/>
      </c>
      <c r="F40" s="25">
        <f>IF(E40="","",$C$15+IF(E40=$C$19,$C$20,0))</f>
        <v/>
      </c>
      <c r="G40" s="25">
        <f>IF(E40="","",F40/(1+$C$18)^E40)</f>
        <v/>
      </c>
    </row>
    <row r="41">
      <c r="E41" s="26">
        <f>IF(18&lt;=$C$19,18,"")</f>
        <v/>
      </c>
      <c r="F41" s="25">
        <f>IF(E41="","",$C$15+IF(E41=$C$19,$C$20,0))</f>
        <v/>
      </c>
      <c r="G41" s="25">
        <f>IF(E41="","",F41/(1+$C$18)^E41)</f>
        <v/>
      </c>
    </row>
    <row r="42">
      <c r="E42" s="26">
        <f>IF(19&lt;=$C$19,19,"")</f>
        <v/>
      </c>
      <c r="F42" s="25">
        <f>IF(E42="","",$C$15+IF(E42=$C$19,$C$20,0))</f>
        <v/>
      </c>
      <c r="G42" s="25">
        <f>IF(E42="","",F42/(1+$C$18)^E42)</f>
        <v/>
      </c>
    </row>
    <row r="43">
      <c r="E43" s="26">
        <f>IF(20&lt;=$C$19,20,"")</f>
        <v/>
      </c>
      <c r="F43" s="25">
        <f>IF(E43="","",$C$15+IF(E43=$C$19,$C$20,0))</f>
        <v/>
      </c>
      <c r="G43" s="25">
        <f>IF(E43="","",F43/(1+$C$18)^E43)</f>
        <v/>
      </c>
    </row>
    <row r="44">
      <c r="E44" s="26">
        <f>IF(21&lt;=$C$19,21,"")</f>
        <v/>
      </c>
      <c r="F44" s="25">
        <f>IF(E44="","",$C$15+IF(E44=$C$19,$C$20,0))</f>
        <v/>
      </c>
      <c r="G44" s="25">
        <f>IF(E44="","",F44/(1+$C$18)^E44)</f>
        <v/>
      </c>
    </row>
    <row r="45">
      <c r="E45" s="26">
        <f>IF(22&lt;=$C$19,22,"")</f>
        <v/>
      </c>
      <c r="F45" s="25">
        <f>IF(E45="","",$C$15+IF(E45=$C$19,$C$20,0))</f>
        <v/>
      </c>
      <c r="G45" s="25">
        <f>IF(E45="","",F45/(1+$C$18)^E45)</f>
        <v/>
      </c>
    </row>
    <row r="46">
      <c r="E46" s="26">
        <f>IF(23&lt;=$C$19,23,"")</f>
        <v/>
      </c>
      <c r="F46" s="25">
        <f>IF(E46="","",$C$15+IF(E46=$C$19,$C$20,0))</f>
        <v/>
      </c>
      <c r="G46" s="25">
        <f>IF(E46="","",F46/(1+$C$18)^E46)</f>
        <v/>
      </c>
    </row>
    <row r="47">
      <c r="E47" s="26">
        <f>IF(24&lt;=$C$19,24,"")</f>
        <v/>
      </c>
      <c r="F47" s="25">
        <f>IF(E47="","",$C$15+IF(E47=$C$19,$C$20,0))</f>
        <v/>
      </c>
      <c r="G47" s="25">
        <f>IF(E47="","",F47/(1+$C$18)^E47)</f>
        <v/>
      </c>
    </row>
    <row r="48">
      <c r="E48" s="26">
        <f>IF(25&lt;=$C$19,25,"")</f>
        <v/>
      </c>
      <c r="F48" s="25">
        <f>IF(E48="","",$C$15+IF(E48=$C$19,$C$20,0))</f>
        <v/>
      </c>
      <c r="G48" s="25">
        <f>IF(E48="","",F48/(1+$C$18)^E48)</f>
        <v/>
      </c>
    </row>
  </sheetData>
  <mergeCells count="6">
    <mergeCell ref="B3:G3"/>
    <mergeCell ref="B2:G2"/>
    <mergeCell ref="B22:G22"/>
    <mergeCell ref="B5:C5"/>
    <mergeCell ref="B17:C17"/>
    <mergeCell ref="B35:C3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22"/>
  <sheetViews>
    <sheetView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8" customWidth="1" min="3" max="3"/>
    <col width="40" customWidth="1" min="4" max="4"/>
  </cols>
  <sheetData>
    <row r="2" ht="22" customHeight="1">
      <c r="B2" s="1" t="inlineStr">
        <is>
          <t>5. SUSTAINABILITY-LINKED LOAN — MARGIN RATCHET</t>
        </is>
      </c>
    </row>
    <row r="3">
      <c r="B3" s="2" t="inlineStr">
        <is>
          <t>Margin/bunga terikat pencapaian KPI ESG. KPI tercapai → margin turun; gagal → margin naik. ESG masuk biaya modal langsung.</t>
        </is>
      </c>
    </row>
    <row r="5" ht="16" customHeight="1">
      <c r="B5" s="7" t="inlineStr">
        <is>
          <t>INPUT (ubah sel biru)</t>
        </is>
      </c>
    </row>
    <row r="6">
      <c r="B6" s="5" t="inlineStr">
        <is>
          <t>Pokok pinjaman (Rp miliar)</t>
        </is>
      </c>
      <c r="C6" s="9" t="n">
        <v>2000</v>
      </c>
    </row>
    <row r="7">
      <c r="B7" s="5" t="inlineStr">
        <is>
          <t>Margin dasar (bps)</t>
        </is>
      </c>
      <c r="C7" s="28" t="n">
        <v>200</v>
      </c>
    </row>
    <row r="8">
      <c r="B8" s="5" t="inlineStr">
        <is>
          <t>Diskon margin bila KPI tercapai (bps)</t>
        </is>
      </c>
      <c r="C8" s="28" t="n">
        <v>20</v>
      </c>
    </row>
    <row r="9">
      <c r="B9" s="5" t="inlineStr">
        <is>
          <t>Penalti margin bila KPI gagal (bps)</t>
        </is>
      </c>
      <c r="C9" s="28" t="n">
        <v>20</v>
      </c>
    </row>
    <row r="11" ht="16" customHeight="1">
      <c r="B11" s="7" t="inlineStr">
        <is>
          <t>KPI ESG — TARGET vs REALISASI</t>
        </is>
      </c>
    </row>
    <row r="12">
      <c r="B12" s="5" t="inlineStr">
        <is>
          <t>Target pengurangan emisi Scope 1+2 (%)</t>
        </is>
      </c>
      <c r="C12" s="15" t="n">
        <v>0.3</v>
      </c>
    </row>
    <row r="13">
      <c r="B13" s="5" t="inlineStr">
        <is>
          <t>Realisasi pengurangan emisi (%)</t>
        </is>
      </c>
      <c r="C13" s="15" t="n">
        <v>0.32</v>
      </c>
    </row>
    <row r="14">
      <c r="B14" s="3" t="inlineStr">
        <is>
          <t>KPI tercapai?</t>
        </is>
      </c>
      <c r="C14" s="29">
        <f>IF(C13&gt;=C12,"YA","TIDAK")</f>
        <v/>
      </c>
    </row>
    <row r="16" ht="16" customHeight="1">
      <c r="B16" s="7" t="inlineStr">
        <is>
          <t>MARGIN &amp; BEBAN BUNGA (ratchet)</t>
        </is>
      </c>
    </row>
    <row r="17">
      <c r="B17" s="3" t="inlineStr">
        <is>
          <t>Margin berlaku (bps) = dasar − diskon (jika tercapai) / + penalti</t>
        </is>
      </c>
      <c r="C17" s="12">
        <f>C7-IF(C13&gt;=C12,C8,-C9)</f>
        <v/>
      </c>
    </row>
    <row r="18">
      <c r="B18" s="3" t="inlineStr">
        <is>
          <t>Margin berlaku (%)</t>
        </is>
      </c>
      <c r="C18" s="11">
        <f>C17/10000</f>
        <v/>
      </c>
    </row>
    <row r="19">
      <c r="B19" s="3" t="inlineStr">
        <is>
          <t>Beban bunga tahunan = margin% × pokok (Rp miliar)</t>
        </is>
      </c>
      <c r="C19" s="13">
        <f>C18*C6</f>
        <v/>
      </c>
    </row>
    <row r="20">
      <c r="B20" s="3" t="inlineStr">
        <is>
          <t>Penghematan/tambahan vs margin dasar (Rp miliar)</t>
        </is>
      </c>
      <c r="C20" s="13">
        <f>(C7-C17)/10000*C6</f>
        <v/>
      </c>
    </row>
    <row r="22" ht="30" customHeight="1">
      <c r="B22" s="6" t="inlineStr">
        <is>
          <t>Contoh: margin dasar 200 bps, KPI tercapai (realisasi 32% ≥ target 30%) → margin turun ke 180 bps. Bila gagal → naik ke 220 bps. Ubah realisasi (biru) di bawah target untuk melihat penalti.</t>
        </is>
      </c>
    </row>
  </sheetData>
  <mergeCells count="6">
    <mergeCell ref="B11:D11"/>
    <mergeCell ref="B3:D3"/>
    <mergeCell ref="B5:D5"/>
    <mergeCell ref="B22:D22"/>
    <mergeCell ref="B2:D2"/>
    <mergeCell ref="B16:D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2026-07-19T18:20:27Z</dcterms:created>
  <dcterms:modified xmlns:dcterms="http://purl.org/dc/terms/" xmlns:xsi="http://www.w3.org/2001/XMLSchema-instance" xsi:type="dcterms:W3CDTF">2026-07-19T18:20:27Z</dcterms:modified>
</cp:coreProperties>
</file>