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IDAS\OneDrive\Claude\Personal\atlas\05-Tech\stdsquare-hugo\static\excel\"/>
    </mc:Choice>
  </mc:AlternateContent>
  <xr:revisionPtr revIDLastSave="0" documentId="13_ncr:1_{55DE41A2-F5FF-4FEB-ABEC-BF0FF2DC0E72}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1_PETUNJUK" sheetId="1" r:id="rId1"/>
    <sheet name="1_INPUT" sheetId="2" r:id="rId2"/>
    <sheet name="2_NOPAT" sheetId="3" r:id="rId3"/>
    <sheet name="3_CAPITAL" sheetId="4" r:id="rId4"/>
    <sheet name="4_WACC" sheetId="5" r:id="rId5"/>
    <sheet name="5_EVA" sheetId="6" r:id="rId6"/>
    <sheet name="6_PERBANDINGAN" sheetId="7" r:id="rId7"/>
    <sheet name="7_RUMUS" sheetId="8" r:id="rId8"/>
  </sheets>
  <definedNames>
    <definedName name="BetaI">'1_INPUT'!$C$21</definedName>
    <definedName name="BetaK">'1_INPUT'!$E$21</definedName>
    <definedName name="BetaS">'1_INPUT'!$D$21</definedName>
    <definedName name="CashI">'1_INPUT'!$C$12</definedName>
    <definedName name="CashK">'1_INPUT'!$E$12</definedName>
    <definedName name="CashS">'1_INPUT'!$D$12</definedName>
    <definedName name="CI_I">'3_CAPITAL'!$C$11</definedName>
    <definedName name="CI_K">'3_CAPITAL'!$E$11</definedName>
    <definedName name="CI_S">'3_CAPITAL'!$D$11</definedName>
    <definedName name="DbtI">'1_INPUT'!$C$11</definedName>
    <definedName name="DbtK">'1_INPUT'!$E$11</definedName>
    <definedName name="DbtS">'1_INPUT'!$D$11</definedName>
    <definedName name="DmpI">'1_INPUT'!$C$17</definedName>
    <definedName name="DmpK">'1_INPUT'!$E$17</definedName>
    <definedName name="DmpS">'1_INPUT'!$D$17</definedName>
    <definedName name="EBITI">'1_INPUT'!$C$7</definedName>
    <definedName name="EBITK">'1_INPUT'!$E$7</definedName>
    <definedName name="EBITS">'1_INPUT'!$D$7</definedName>
    <definedName name="EmpI">'1_INPUT'!$C$16</definedName>
    <definedName name="EmpK">'1_INPUT'!$E$16</definedName>
    <definedName name="EmpS">'1_INPUT'!$D$16</definedName>
    <definedName name="EqI">'1_INPUT'!$C$10</definedName>
    <definedName name="EqK">'1_INPUT'!$E$10</definedName>
    <definedName name="EqS">'1_INPUT'!$D$10</definedName>
    <definedName name="EVAI">'5_EVA'!$C$10</definedName>
    <definedName name="EVAK">'5_EVA'!$E$10</definedName>
    <definedName name="EVAS">'5_EVA'!$D$10</definedName>
    <definedName name="MRPI">'1_INPUT'!$C$20</definedName>
    <definedName name="MRPK">'1_INPUT'!$E$20</definedName>
    <definedName name="MRPS">'1_INPUT'!$D$20</definedName>
    <definedName name="NonOpI">'1_INPUT'!$C$14</definedName>
    <definedName name="NonOpK">'1_INPUT'!$E$14</definedName>
    <definedName name="NonOpS">'1_INPUT'!$D$14</definedName>
    <definedName name="NOPATI">'2_NOPAT'!$C$9</definedName>
    <definedName name="NOPATK">'2_NOPAT'!$E$9</definedName>
    <definedName name="NOPATS">'2_NOPAT'!$D$9</definedName>
    <definedName name="RdI">'1_INPUT'!$C$22</definedName>
    <definedName name="RdK">'1_INPUT'!$E$22</definedName>
    <definedName name="RdS">'1_INPUT'!$D$22</definedName>
    <definedName name="ReI">'4_WACC'!$C$14</definedName>
    <definedName name="ReK">'4_WACC'!$E$14</definedName>
    <definedName name="ReS">'4_WACC'!$D$14</definedName>
    <definedName name="RfI">'1_INPUT'!$C$19</definedName>
    <definedName name="RfK">'1_INPUT'!$E$19</definedName>
    <definedName name="RfS">'1_INPUT'!$D$19</definedName>
    <definedName name="RndI">'1_INPUT'!$C$13</definedName>
    <definedName name="RndK">'1_INPUT'!$E$13</definedName>
    <definedName name="RndS">'1_INPUT'!$D$13</definedName>
    <definedName name="tI">'1_INPUT'!$C$8</definedName>
    <definedName name="tK">'1_INPUT'!$E$8</definedName>
    <definedName name="tS">'1_INPUT'!$D$8</definedName>
    <definedName name="WACCI">'4_WACC'!$C$18</definedName>
    <definedName name="WACCK">'4_WACC'!$E$18</definedName>
    <definedName name="WACCS">'4_WACC'!$D$18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D6" i="7"/>
  <c r="C6" i="7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C9" i="5"/>
  <c r="E8" i="5"/>
  <c r="D8" i="5"/>
  <c r="C8" i="5"/>
  <c r="E7" i="5"/>
  <c r="D7" i="5"/>
  <c r="C7" i="5"/>
  <c r="E6" i="5"/>
  <c r="D6" i="5"/>
  <c r="C6" i="5"/>
  <c r="E11" i="4"/>
  <c r="E7" i="6" s="1"/>
  <c r="D11" i="4"/>
  <c r="D8" i="7" s="1"/>
  <c r="C11" i="4"/>
  <c r="C8" i="7" s="1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9" i="3"/>
  <c r="E6" i="6" s="1"/>
  <c r="D9" i="3"/>
  <c r="D6" i="6" s="1"/>
  <c r="C9" i="3"/>
  <c r="E8" i="3"/>
  <c r="D8" i="3"/>
  <c r="C8" i="3"/>
  <c r="E7" i="3"/>
  <c r="D7" i="3"/>
  <c r="C7" i="3"/>
  <c r="E6" i="3"/>
  <c r="D6" i="3"/>
  <c r="C6" i="3"/>
  <c r="C12" i="7" l="1"/>
  <c r="D12" i="7"/>
  <c r="C7" i="6"/>
  <c r="D7" i="6"/>
  <c r="C14" i="6"/>
  <c r="E12" i="7"/>
  <c r="E9" i="6"/>
  <c r="E14" i="6"/>
  <c r="D14" i="6"/>
  <c r="E8" i="7"/>
  <c r="C9" i="7"/>
  <c r="C15" i="6"/>
  <c r="D9" i="7"/>
  <c r="C8" i="6"/>
  <c r="D15" i="6"/>
  <c r="E9" i="7"/>
  <c r="D8" i="6"/>
  <c r="E15" i="6"/>
  <c r="C10" i="7"/>
  <c r="E8" i="6"/>
  <c r="C16" i="6"/>
  <c r="D10" i="7"/>
  <c r="C9" i="6"/>
  <c r="D16" i="6"/>
  <c r="E10" i="7"/>
  <c r="D9" i="6"/>
  <c r="E16" i="6"/>
  <c r="C11" i="7"/>
  <c r="D11" i="7"/>
  <c r="C10" i="6"/>
  <c r="E11" i="7"/>
  <c r="D10" i="6"/>
  <c r="E10" i="6"/>
  <c r="C7" i="7"/>
  <c r="D7" i="7"/>
  <c r="C6" i="6"/>
  <c r="E7" i="7"/>
  <c r="D13" i="7" l="1"/>
  <c r="D11" i="6"/>
  <c r="E13" i="7"/>
  <c r="E11" i="6"/>
  <c r="C13" i="7"/>
  <c r="C11" i="6"/>
</calcChain>
</file>

<file path=xl/sharedStrings.xml><?xml version="1.0" encoding="utf-8"?>
<sst xmlns="http://schemas.openxmlformats.org/spreadsheetml/2006/main" count="290" uniqueCount="244">
  <si>
    <t>EVA CALCULATOR — ECONOMIC VALUE ADDED</t>
  </si>
  <si>
    <t>3 emiten BEI (ICBP, SMGR, KRAS) · EVA = NOPAT - WACC x Capital Invested · semua rumus hidup</t>
  </si>
  <si>
    <t>PAKAI CARA INI:</t>
  </si>
  <si>
    <t>1. 1_INPUT</t>
  </si>
  <si>
    <t>Isi sel BIRU di kolom ICBP/SMGR/KRAS: data laba rugi (EBIT, tarif pajak), neraca (ekuitas buku, utang berbunga, kas berlebih), data pasar (market cap, utang pasar), dan input biaya modal (Rf, premi pasar, beta, Rd).</t>
  </si>
  <si>
    <t>2. 2_NOPAT</t>
  </si>
  <si>
    <t>Otomatis hitung NOPAT = EBIT x (1 - t). Validasi tarif pajak; catatan untuk perusahaan rugi (tarif konvensi vs konservatif).</t>
  </si>
  <si>
    <t>3. 3_CAPITAL</t>
  </si>
  <si>
    <t>Otomatis hitung Capital Invested = Ekuitas + Utang Berbunga - Kas Berlebih, plus baris opsional penyesuaian R&amp;D dan non-operasi.</t>
  </si>
  <si>
    <t>4. 4_WACC</t>
  </si>
  <si>
    <t>Otomatis hitung bobot E/V &amp; D/V, biaya ekuitas CAPM (Re = Rf + beta x premi), biaya utang setelah pajak, dan rumus induk WACC.</t>
  </si>
  <si>
    <t>5. 5_EVA</t>
  </si>
  <si>
    <t>Otomatis hitung Beban Modal (WACC x Capital Invested), EVA = NOPAT - Beban Modal, ROIC, dan spread ROIC - WACC. Conditional formatting: hijau = ciptakan nilai, merah = hancurkan nilai.</t>
  </si>
  <si>
    <t>6. 6_PERBANDINGAN</t>
  </si>
  <si>
    <t>Tabel ringkas 3 emiten + grafik batang EVA + interpretasi otomatis.</t>
  </si>
  <si>
    <t>7. 7_RUMUS</t>
  </si>
  <si>
    <t>Ringkasan rumus EVA, definisi komponen, dan asumsi.</t>
  </si>
  <si>
    <t>LEGENDA WARNA:</t>
  </si>
  <si>
    <t>Input manual</t>
  </si>
  <si>
    <t>Sel biru = Anda ubah. Hanya di sheet 1_INPUT.</t>
  </si>
  <si>
    <t>Formula hidup</t>
  </si>
  <si>
    <t>Sel hitam = dihitung otomatis. Jangan diketik ulang.</t>
  </si>
  <si>
    <t>Header / sub-judul</t>
  </si>
  <si>
    <t>Sel hijau band = sub-judul; sel kuning = hasil kunci (EVA).</t>
  </si>
  <si>
    <t>ANGKA KUNCI (default, ilustratif BEI):</t>
  </si>
  <si>
    <t>ICBP: EBIT 10.500, NOPAT 8.190, Capital 25.000, WACC 11,62% -&gt; EVA = +Rp 5.285 M (ciptakan nilai besar)</t>
  </si>
  <si>
    <t>SMGR: EBIT 3.200, NOPAT 2.496, Capital 46.000, WACC 11,37% -&gt; EVA = -Rp 2.734 M (hancurkan nilai, walau laba akuntansi positif)</t>
  </si>
  <si>
    <t>KRAS: EBIT -200, NOPAT -156, Capital 23.000, WACC 11,72% -&gt; EVA = -Rp 2.852 M (hancurkan nilai parah, operasi rugi)</t>
  </si>
  <si>
    <t>Asumsi: tarif pajak PPh Badan 22%, Rf = yield SUN 10Y 6,8%, premi risiko pasar 7% (konservatif pasar berkembang).</t>
  </si>
  <si>
    <t>Catatan: angka ilustratif skala realistis (Rp miliar), BUKAN laporan keuangan resmi tertentu. Tujuan: melatih mesin EVA.</t>
  </si>
  <si>
    <t>EVA positif hanya bila ROIC &gt; WACC. Lihat sheet 5_EVA kolom spread.</t>
  </si>
  <si>
    <t>INPUT — DATA 3 EMITEN BEI</t>
  </si>
  <si>
    <t>Ubah sel BIRU saja. Semua sheet lain menghitung ulang otomatis. Satuan: Rp miliar (kecuali tarif, persen, beta, saham).</t>
  </si>
  <si>
    <t>Variabel</t>
  </si>
  <si>
    <t>ICBP</t>
  </si>
  <si>
    <t>SMGR</t>
  </si>
  <si>
    <t>KRAS</t>
  </si>
  <si>
    <t>Satuan / Sumber</t>
  </si>
  <si>
    <t>--- LABA RUGI ---</t>
  </si>
  <si>
    <t>EBIT (laba operasi)</t>
  </si>
  <si>
    <t>Rp M · dari laporan laba rugi</t>
  </si>
  <si>
    <t>Tarif pajak marginal (t)</t>
  </si>
  <si>
    <t>PPh Badan 22%</t>
  </si>
  <si>
    <t>--- NERACA ---</t>
  </si>
  <si>
    <t>Ekuitas Buku</t>
  </si>
  <si>
    <t>Rp M · total ekuitas di neraca</t>
  </si>
  <si>
    <t>Utang Berbunga</t>
  </si>
  <si>
    <t>Rp M · pinjaman bank + obligasi + lease</t>
  </si>
  <si>
    <t>Kas Berlebih</t>
  </si>
  <si>
    <t>Rp M · kas di atas kebutuhan operasi</t>
  </si>
  <si>
    <t>Penyesuaian R&amp;D (opsional)</t>
  </si>
  <si>
    <t>Rp M · kapitalisasi R&amp;D (+)</t>
  </si>
  <si>
    <t>Penyesuaian non-operasi (ops.)</t>
  </si>
  <si>
    <t>Rp M · bersihkan goodwill impairment dll. (-)</t>
  </si>
  <si>
    <t>--- PASAR ---</t>
  </si>
  <si>
    <t>Market Cap (E pasar)</t>
  </si>
  <si>
    <t>Rp M · saham beredar x harga</t>
  </si>
  <si>
    <t>Utang Pasar (D)</t>
  </si>
  <si>
    <t>Rp M · sering = nilai buku</t>
  </si>
  <si>
    <t>--- BIAYA MODAL ---</t>
  </si>
  <si>
    <t>Risk-free rate (Rf)</t>
  </si>
  <si>
    <t>yield SUN 10Y = 6,8%</t>
  </si>
  <si>
    <t>Premi risiko pasar (Rm-Rf)</t>
  </si>
  <si>
    <t>7% konservatif pasar berkembang</t>
  </si>
  <si>
    <t>Beta (levered)</t>
  </si>
  <si>
    <t>sensitivitas ke IHSG</t>
  </si>
  <si>
    <t>Biaya utang sebelum pajak (Rd)</t>
  </si>
  <si>
    <t>yield obligasi / bunga kredit baru</t>
  </si>
  <si>
    <t>KOMPONEN 1 — NOPAT (Net Operating Profit After Tax)</t>
  </si>
  <si>
    <t>NOPAT = EBIT x (1 - t). Laba operasi murni setelah pajak, sebelum bunga.</t>
  </si>
  <si>
    <t>Langkah / Variabel</t>
  </si>
  <si>
    <t>Formula / Catatan</t>
  </si>
  <si>
    <t>EBIT (dari input)</t>
  </si>
  <si>
    <t>EBIT · dolar</t>
  </si>
  <si>
    <t>22% PPh Badan</t>
  </si>
  <si>
    <t>(1 - t)</t>
  </si>
  <si>
    <t>Faktor setelah pajak</t>
  </si>
  <si>
    <t>NOPAT = EBIT x (1 - t)</t>
  </si>
  <si>
    <t>EBIT x (1 - t)</t>
  </si>
  <si>
    <t>CATATAN UNTUK PERUSAHAAN RUGI</t>
  </si>
  <si>
    <t>KRAS (EBIT negatif): tarif pajak aktual tidak relevan karena tidak ada pajak dibayar. Aset pajak tangguhan malah bisa dicatat.</t>
  </si>
  <si>
    <t>Konvensi standar: tetap pakai (1 - t) sehingga NOPAT = -156 (lebih kecil negatifnya dari EBIT -200). Logika: seandainya untung, pajak potong 22%; rugi pun 'diselamatkan' 22% oleh perisai pajak kerugian.</t>
  </si>
  <si>
    <t>Konvensi konservatif alternatif: pakai t = 0 untuk perusahaan rugi -&gt; NOPAT = EBIT. Beberapa praktisi memilih ini.</t>
  </si>
  <si>
    <t>KOMPONEN 2 — CAPITAL INVESTED</t>
  </si>
  <si>
    <t>Capital Invested = Ekuitas Buku + Utang Berbunga - Kas Berlebih (+ penyesuaian opsional).</t>
  </si>
  <si>
    <t>modal disetor + laba ditahan</t>
  </si>
  <si>
    <t>+ Utang Berbunga</t>
  </si>
  <si>
    <t>pinjaman bank + obligasi + lease</t>
  </si>
  <si>
    <t>- Kas Berlebih</t>
  </si>
  <si>
    <t>kas parkir (bukan operasi)</t>
  </si>
  <si>
    <t>+ Penyesuaian R&amp;D (kapitalisasi)</t>
  </si>
  <si>
    <t>opsional · tambah aset R&amp;D</t>
  </si>
  <si>
    <t>- Penyesuaian non-operasi</t>
  </si>
  <si>
    <t>opsional · goodwill impair, dll.</t>
  </si>
  <si>
    <t>Capital Invested</t>
  </si>
  <si>
    <t>rumus induk</t>
  </si>
  <si>
    <t>INTUISI: KAS BERLEBIH DIKURANGKAN</t>
  </si>
  <si>
    <t>Kas parkir di bank menghasilkan bunga (pendapatan non-operasi), bukan laba operasi.</t>
  </si>
  <si>
    <t>Kalau ikut serta di basis modal, WACC akan dibebankan padanya - padahal NOPAT tidak menghitung bunga kas itu.</t>
  </si>
  <si>
    <t>Akibatnya EVA terlihat lebih buruk dari sebenarnya. Solusi: keluarkan kas berlebih dari basis modal.</t>
  </si>
  <si>
    <t>Kas operasi (untuk gaji, modal kerja) TETAP dalam basis modal - karena diperlukan menghasilkan NOPAT.</t>
  </si>
  <si>
    <t>KOMPONEN 3 — WACC (Weighted Average Cost of Capital)</t>
  </si>
  <si>
    <t>WACC = (E/V) x Re + (D/V) x Rd x (1 - t). Bobot pakai nilai PASAR.</t>
  </si>
  <si>
    <t>input · saham x harga</t>
  </si>
  <si>
    <t>input · sering = nilai buku</t>
  </si>
  <si>
    <t>V = E + D</t>
  </si>
  <si>
    <t>total modal pasar</t>
  </si>
  <si>
    <t>Bobot ekuitas E/V</t>
  </si>
  <si>
    <t>porsi nilai pasar ekuitas</t>
  </si>
  <si>
    <t>Bobot utang D/V</t>
  </si>
  <si>
    <t>porsi nilai pasar utang</t>
  </si>
  <si>
    <t>yield SUN 10Y</t>
  </si>
  <si>
    <t>premi pasar</t>
  </si>
  <si>
    <t>Beta</t>
  </si>
  <si>
    <t>risiko sistematis</t>
  </si>
  <si>
    <t>Biaya ekuitas Re = Rf + beta x MR</t>
  </si>
  <si>
    <t>CAPM</t>
  </si>
  <si>
    <t>input · yield</t>
  </si>
  <si>
    <t>perisai pajak</t>
  </si>
  <si>
    <t>Biaya utang setelah pajak Rd(1-t)</t>
  </si>
  <si>
    <t>Rd x (1-t)</t>
  </si>
  <si>
    <t>WACC = (E/V)Re + (D/V)Rd(1-t)</t>
  </si>
  <si>
    <t>CATATAN: WACC MEMAKAI NILAI PASAR, CAPITAL INVESTED MEMAKAI NILAI BUKU</t>
  </si>
  <si>
    <t>Ini bukan inkonsistensi - itu disengaja. WACC mengukur biaya modal SAAT INI (yang relevan harga pasar sekarang).</t>
  </si>
  <si>
    <t>Capital Invested mengukur modal yang sudah ditanamkan historis (tercatat di neraca sebagai nilai buku).</t>
  </si>
  <si>
    <t>EVA membandingkan 'laba dari modal historis' dengan 'biaya modal hari ini' - masuk akal bagi investor yang menilai produktivitas modal yang tertanam.</t>
  </si>
  <si>
    <t>RUMUS INDUK — EVA = NOPAT - WACC x CAPITAL INVESTED</t>
  </si>
  <si>
    <t>Beban Modal (capital charge) = WACC x Capital Invested. EVA positif = ciptakan nilai; negatif = hancurkan nilai.</t>
  </si>
  <si>
    <t>NOPAT (dari 2_NOPAT)</t>
  </si>
  <si>
    <t>EBIT x (1-t)</t>
  </si>
  <si>
    <t>Capital Invested (dari 3_CAPITAL)</t>
  </si>
  <si>
    <t>Ekuitas + Utang - Kas</t>
  </si>
  <si>
    <t>WACC (dari 4_WACC)</t>
  </si>
  <si>
    <t>(E/V)Re + (D/V)Rd(1-t)</t>
  </si>
  <si>
    <t>Beban Modal = WACC x Capital</t>
  </si>
  <si>
    <t>dolar beban modal</t>
  </si>
  <si>
    <t>EVA = NOPAT - Beban Modal</t>
  </si>
  <si>
    <t>rumus induk · positif = ciptakan, negatif = hancurkan</t>
  </si>
  <si>
    <t>Status nilai</t>
  </si>
  <si>
    <t>hijau = +, merah = -</t>
  </si>
  <si>
    <t>ALTERNATIF: EVA = (ROIC - WACC) x CAPITAL INVESTED</t>
  </si>
  <si>
    <t>ROIC = NOPAT / Capital Invested</t>
  </si>
  <si>
    <t>imbal hasil operasi sesungguhnya</t>
  </si>
  <si>
    <t>Spread (ROIC - WACC)</t>
  </si>
  <si>
    <t>positif = di atas biaya modal</t>
  </si>
  <si>
    <t>EVA = Spread x Capital (cek)</t>
  </si>
  <si>
    <t>harus sama dengan baris EVA di atas</t>
  </si>
  <si>
    <t>INTERPRETASI</t>
  </si>
  <si>
    <t>ICBP: ROIC jauh di atas WACC (spread +21 pp) -&gt; mesin pencetak nilai ekonomi. Profil konsumer dengan moat merek, skala efisien.</t>
  </si>
  <si>
    <t>SMGR: ROIC di bawah WACC (spread -6 pp) padat modal pabrik semen -&gt; laba akuntansi positif tapi menghancurkan nilai ekonomi.</t>
  </si>
  <si>
    <t>KRAS: ROIC negatif (spread -12 pp) -&gt; operasi rugi ditambah beban modal tetap. Kandidat restrukturisasi signifikan.</t>
  </si>
  <si>
    <t>PERBANDINGAN 3 EMITEN — RINGKASAN EVA</t>
  </si>
  <si>
    <t>Satu tabel, tiga profil: konsumer (ciptakan nilai), semen (hancurkan nilai walau untung akuntansi), baja (hancurkan nilai parah).</t>
  </si>
  <si>
    <t>Metrik</t>
  </si>
  <si>
    <t>Catatan</t>
  </si>
  <si>
    <t>EBIT</t>
  </si>
  <si>
    <t>laba operasi sebelum bunga &amp; pajak</t>
  </si>
  <si>
    <t>NOPAT</t>
  </si>
  <si>
    <t>Capital Inv.</t>
  </si>
  <si>
    <t>WACC</t>
  </si>
  <si>
    <t>biaya modal rata-rata</t>
  </si>
  <si>
    <t>ROIC</t>
  </si>
  <si>
    <t>NOPAT / Capital Invested</t>
  </si>
  <si>
    <t>Spread</t>
  </si>
  <si>
    <t>ROIC - WACC</t>
  </si>
  <si>
    <t>Beban Modal</t>
  </si>
  <si>
    <t>WACC x Capital Invested</t>
  </si>
  <si>
    <t>EVA</t>
  </si>
  <si>
    <t>NOPAT - Beban Modal</t>
  </si>
  <si>
    <t>PELAJARAN LINTAS-TABEL</t>
  </si>
  <si>
    <t>Spread ROIC - WACC menentukan ARAH (positif/negatif), Capital Invested menentukan SKALA.</t>
  </si>
  <si>
    <t>ICBP: spread positif terbesar (+21 pp) pada basis Rp 25.000 M -&gt; EVA positif besar.</t>
  </si>
  <si>
    <t>SMGR: spread negatif moderat (-6 pp) pada basis modal besar (Rp 46.000 M) -&gt; EVA negatif signifikan.</t>
  </si>
  <si>
    <t>KRAS: spread negatif lebih dalam (-12 pp) pada basis lebih kecil (Rp 23.000 M) -&gt; EVA negatif hampir sama dengan SMGR.</t>
  </si>
  <si>
    <t>Untuk memperbaiki EVA: menaikkan ROIC, menurunkan WACC, atau keduanya - BUKAN sekadar menumbuhkan ukuran.</t>
  </si>
  <si>
    <t>Grow capital saat spread negatif hanya memperbesar penghancuran nilai.</t>
  </si>
  <si>
    <t>RINGKASAN RUMUS &amp; KONVENSI</t>
  </si>
  <si>
    <t>RUMUS INDUK</t>
  </si>
  <si>
    <t>EVA = NOPAT - WACC x Capital Invested</t>
  </si>
  <si>
    <t>Alternatif</t>
  </si>
  <si>
    <t>EVA = (ROIC - WACC) x Capital Invested</t>
  </si>
  <si>
    <t>Laba operasi sebelum bunga dan pajak (dari laba rugi)</t>
  </si>
  <si>
    <t>t</t>
  </si>
  <si>
    <t>Tarif pajak marginal (PPh Badan 22%; industri pionir tax holiday; UMKM 0,5% final)</t>
  </si>
  <si>
    <t>Catatan rugi</t>
  </si>
  <si>
    <t>Perusahaan rugi: tetap pakai (1-t) konvensi standar, atau t=0 utk konservatif</t>
  </si>
  <si>
    <t>CAPITAL INVESTED</t>
  </si>
  <si>
    <t>Definisi</t>
  </si>
  <si>
    <t>Capital Invested = Ekuitas Buku + Utang Berbunga - Kas Berlebih</t>
  </si>
  <si>
    <t>'= Total Aset - Utang Usaha - Kas Berlebih (ekuivalen matematis)</t>
  </si>
  <si>
    <t>Modal disetor + laba ditahan</t>
  </si>
  <si>
    <t>Pinjaman bank + obligasi + utang lease (BUKAN utang usaha, pajak, accrual)</t>
  </si>
  <si>
    <t>Kas di atas kebutuhan operasi (kas operasi TETAP di basis modal)</t>
  </si>
  <si>
    <t>Rumus</t>
  </si>
  <si>
    <t>WACC = (E/V) x Re + (D/V) x Rd x (1 - t)</t>
  </si>
  <si>
    <t>E, D</t>
  </si>
  <si>
    <t>Nilai PASAR ekuitas (market cap) dan utang</t>
  </si>
  <si>
    <t>V</t>
  </si>
  <si>
    <t>Re (CAPM)</t>
  </si>
  <si>
    <t>Re = Rf + beta x (Rm - Rf)</t>
  </si>
  <si>
    <t>Rf</t>
  </si>
  <si>
    <t>Risk-free rate · yield SUN 10 tahun (~6,8%)</t>
  </si>
  <si>
    <t>Rm - Rf</t>
  </si>
  <si>
    <t>Premi risiko pasar (~7% konservatif utk pasar berkembang)</t>
  </si>
  <si>
    <t>Rd</t>
  </si>
  <si>
    <t>Biaya utang sebelum pajak (yield obligasi / bunga kredit baru)</t>
  </si>
  <si>
    <t>(1-t)</t>
  </si>
  <si>
    <t>Perisai pajak · bunga utang mengurangi pajak</t>
  </si>
  <si>
    <t>WACC pakai nilai PASAR; Capital Invested pakai nilai BUKU (disengaja)</t>
  </si>
  <si>
    <t>INTERPRETASI EVA</t>
  </si>
  <si>
    <t>EVA &gt; 0</t>
  </si>
  <si>
    <t>Penciptaan nilai. Operasi hasilkan imbal hasil di atas tuntutan modal.</t>
  </si>
  <si>
    <t>EVA = 0</t>
  </si>
  <si>
    <t>Titik impas ekonomis. Tepat imbal hasil minimum; banyak perusahaan matang.</t>
  </si>
  <si>
    <t>EVA &lt; 0</t>
  </si>
  <si>
    <t>Penghancuran nilai. Walau laba akuntansi positif, secara ekonomi menggerus kekayaan.</t>
  </si>
  <si>
    <t>KONVENSI INPUT</t>
  </si>
  <si>
    <t>Mata uang</t>
  </si>
  <si>
    <t>Rp miliar (kecuali tarif pajak dan suku bunga dalam persen)</t>
  </si>
  <si>
    <t>Tarif pajak</t>
  </si>
  <si>
    <t>Tarif marginal 22%, BUKAN tarif efektif aktual (yang dipengaruhi tax holiday, dll.)</t>
  </si>
  <si>
    <t>Bobot WACC</t>
  </si>
  <si>
    <t>Nilai pasar (bukan nilai buku) untuk E dan D</t>
  </si>
  <si>
    <t>Capital</t>
  </si>
  <si>
    <t>Nilai buku (dari neraca) untuk ekuitas dan utang</t>
  </si>
  <si>
    <t>PENYESUAIAN OPSIONAL (Stern Stewart)</t>
  </si>
  <si>
    <t>R&amp;D</t>
  </si>
  <si>
    <t>Kapitalisasi R&amp;D + ke NOPAT dan Capital Invested, amortisasi selama manfaat</t>
  </si>
  <si>
    <t>Goodwill</t>
  </si>
  <si>
    <t>Keluarkan impairment dari NOPAT (keputusan akuisisi masa lalu)</t>
  </si>
  <si>
    <t>Non-operasi</t>
  </si>
  <si>
    <t>Bersihkan keuntungan/rugi penjualan aset, valas, penilaian investasi</t>
  </si>
  <si>
    <t>Lease</t>
  </si>
  <si>
    <t>PSAK 16 sudah kapitalisasi lease; penyesuaian opsional makin tak perlu</t>
  </si>
  <si>
    <t>BATASAN EVA</t>
  </si>
  <si>
    <t>Sensitif asumsi</t>
  </si>
  <si>
    <t>Penyesuaian akuntansi melibatkan judgement; praktisi berbeda hasil berbeda</t>
  </si>
  <si>
    <t>Nilai buku</t>
  </si>
  <si>
    <t>Capital Invested historis bisa jauh dari nilai ekonomi (aset tak berwujud)</t>
  </si>
  <si>
    <t>WACC tidak stabil</t>
  </si>
  <si>
    <t>Fluktuasi yield SUN, premi risiko, beta menggeser EVA tahun-ke-tahun</t>
  </si>
  <si>
    <t>Mengabaikan tumbuhan</t>
  </si>
  <si>
    <t>EVA periode-tunggal tidak tangkap nilai pertumbuhan masa depan</t>
  </si>
  <si>
    <t>Referensi: Stewart, G. Bennett (1991). The Quest for Value. Stern Stewart &amp;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</si>
</sst>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p&quot;#,##0;[Red]&quot;-Rp&quot;#,##0"/>
    <numFmt numFmtId="165" formatCode="0.0000"/>
    <numFmt numFmtId="166" formatCode="0.0000%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0"/>
      <color rgb="FF555555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1F4E79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F5F5F5"/>
      </patternFill>
    </fill>
    <fill>
      <patternFill patternType="solid">
        <fgColor rgb="FFFFF59D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0" fontId="5" fillId="5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166" fontId="3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FFCDD8"/>
        </patternFill>
      </fill>
    </dxf>
    <dxf>
      <fill>
        <patternFill patternType="solid">
          <fgColor rgb="FFC8E6C9"/>
        </patternFill>
      </fill>
    </dxf>
    <dxf>
      <fill>
        <patternFill patternType="solid">
          <fgColor rgb="FFFFCDD8"/>
        </patternFill>
      </fill>
    </dxf>
    <dxf>
      <fill>
        <patternFill patternType="solid">
          <fgColor rgb="FFC8E6C9"/>
        </patternFill>
      </fill>
    </dxf>
    <dxf>
      <fill>
        <patternFill patternType="solid">
          <fgColor rgb="FFFFCDD8"/>
        </patternFill>
      </fill>
    </dxf>
    <dxf>
      <fill>
        <patternFill patternType="solid">
          <fgColor rgb="FFC8E6C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EVA 3 Emiten BEI (Rp Miliar)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C853"/>
            </a:solidFill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'6_PERBANDINGAN'!$C$5:$E$5</c:f>
              <c:strCache>
                <c:ptCount val="3"/>
                <c:pt idx="0">
                  <c:v>ICBP</c:v>
                </c:pt>
                <c:pt idx="1">
                  <c:v>SMGR</c:v>
                </c:pt>
                <c:pt idx="2">
                  <c:v>KRAS</c:v>
                </c:pt>
              </c:strCache>
            </c:strRef>
          </c:cat>
          <c:val>
            <c:numRef>
              <c:f>'6_PERBANDINGAN'!$C$13:$E$13</c:f>
              <c:numCache>
                <c:formatCode>"Rp"#,##0;[Red]"-Rp"#,##0</c:formatCode>
                <c:ptCount val="3"/>
                <c:pt idx="0">
                  <c:v>5285.681818181818</c:v>
                </c:pt>
                <c:pt idx="1">
                  <c:v>-2733.6651162790704</c:v>
                </c:pt>
                <c:pt idx="2">
                  <c:v>-2850.7636363636361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2F6-4786-AE85-F0E00DA18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Emiten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EVA (Rp Miliar)</a:t>
                </a:r>
              </a:p>
            </c:rich>
          </c:tx>
          <c:overlay val="1"/>
        </c:title>
        <c:numFmt formatCode="&quot;Rp&quot;#,##0;[Red]&quot;-Rp&quot;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0</xdr:rowOff>
    </xdr:from>
    <xdr:ext cx="7200000" cy="396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6"/>
  <sheetViews>
    <sheetView showGridLines="0" tabSelected="1" workbookViewId="0"/>
  </sheetViews>
  <sheetFormatPr defaultRowHeight="15" x14ac:dyDescent="0.25"/>
  <cols>
    <col min="1" max="1" width="3" customWidth="1"/>
    <col min="2" max="2" width="30" customWidth="1"/>
    <col min="3" max="3" width="75" customWidth="1"/>
  </cols>
  <sheetData>
    <row r="2" spans="2:3" ht="30" customHeight="1" x14ac:dyDescent="0.25">
      <c r="B2" s="25" t="s">
        <v>0</v>
      </c>
      <c r="C2" s="23"/>
    </row>
    <row r="3" spans="2:3" x14ac:dyDescent="0.25">
      <c r="B3" s="26" t="s">
        <v>1</v>
      </c>
      <c r="C3" s="23"/>
    </row>
    <row r="5" spans="2:3" x14ac:dyDescent="0.25">
      <c r="B5" s="1" t="s">
        <v>2</v>
      </c>
    </row>
    <row r="6" spans="2:3" ht="45" x14ac:dyDescent="0.25">
      <c r="B6" s="2" t="s">
        <v>3</v>
      </c>
      <c r="C6" s="3" t="s">
        <v>4</v>
      </c>
    </row>
    <row r="7" spans="2:3" ht="30" x14ac:dyDescent="0.25">
      <c r="B7" s="2" t="s">
        <v>5</v>
      </c>
      <c r="C7" s="3" t="s">
        <v>6</v>
      </c>
    </row>
    <row r="8" spans="2:3" ht="30" x14ac:dyDescent="0.25">
      <c r="B8" s="2" t="s">
        <v>7</v>
      </c>
      <c r="C8" s="3" t="s">
        <v>8</v>
      </c>
    </row>
    <row r="9" spans="2:3" ht="30" x14ac:dyDescent="0.25">
      <c r="B9" s="2" t="s">
        <v>9</v>
      </c>
      <c r="C9" s="3" t="s">
        <v>10</v>
      </c>
    </row>
    <row r="10" spans="2:3" ht="45" x14ac:dyDescent="0.25">
      <c r="B10" s="2" t="s">
        <v>11</v>
      </c>
      <c r="C10" s="3" t="s">
        <v>12</v>
      </c>
    </row>
    <row r="11" spans="2:3" x14ac:dyDescent="0.25">
      <c r="B11" s="2" t="s">
        <v>13</v>
      </c>
      <c r="C11" s="3" t="s">
        <v>14</v>
      </c>
    </row>
    <row r="12" spans="2:3" x14ac:dyDescent="0.25">
      <c r="B12" s="2" t="s">
        <v>15</v>
      </c>
      <c r="C12" s="3" t="s">
        <v>16</v>
      </c>
    </row>
    <row r="14" spans="2:3" x14ac:dyDescent="0.25">
      <c r="B14" s="4" t="s">
        <v>17</v>
      </c>
    </row>
    <row r="15" spans="2:3" x14ac:dyDescent="0.25">
      <c r="B15" s="5" t="s">
        <v>18</v>
      </c>
      <c r="C15" s="3" t="s">
        <v>19</v>
      </c>
    </row>
    <row r="16" spans="2:3" x14ac:dyDescent="0.25">
      <c r="B16" s="3" t="s">
        <v>20</v>
      </c>
      <c r="C16" s="3" t="s">
        <v>21</v>
      </c>
    </row>
    <row r="17" spans="2:3" x14ac:dyDescent="0.25">
      <c r="B17" s="6" t="s">
        <v>22</v>
      </c>
      <c r="C17" s="3" t="s">
        <v>23</v>
      </c>
    </row>
    <row r="19" spans="2:3" ht="30" x14ac:dyDescent="0.25">
      <c r="B19" s="4" t="s">
        <v>24</v>
      </c>
    </row>
    <row r="20" spans="2:3" x14ac:dyDescent="0.25">
      <c r="B20" s="24" t="s">
        <v>25</v>
      </c>
      <c r="C20" s="23"/>
    </row>
    <row r="21" spans="2:3" x14ac:dyDescent="0.25">
      <c r="B21" s="24" t="s">
        <v>26</v>
      </c>
      <c r="C21" s="23"/>
    </row>
    <row r="22" spans="2:3" x14ac:dyDescent="0.25">
      <c r="B22" s="24" t="s">
        <v>27</v>
      </c>
      <c r="C22" s="23"/>
    </row>
    <row r="23" spans="2:3" x14ac:dyDescent="0.25">
      <c r="B23" s="24" t="s">
        <v>28</v>
      </c>
      <c r="C23" s="23"/>
    </row>
    <row r="25" spans="2:3" x14ac:dyDescent="0.25">
      <c r="B25" s="22" t="s">
        <v>29</v>
      </c>
      <c r="C25" s="23"/>
    </row>
    <row r="26" spans="2:3" x14ac:dyDescent="0.25">
      <c r="B26" s="22" t="s">
        <v>30</v>
      </c>
      <c r="C26" s="23"/>
    </row>
  </sheetData>
  <mergeCells count="8">
    <mergeCell ref="B26:C26"/>
    <mergeCell ref="B21:C21"/>
    <mergeCell ref="B2:C2"/>
    <mergeCell ref="B25:C25"/>
    <mergeCell ref="B3:C3"/>
    <mergeCell ref="B20:C20"/>
    <mergeCell ref="B23:C23"/>
    <mergeCell ref="B22:C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2"/>
  <sheetViews>
    <sheetView showGridLines="0" workbookViewId="0"/>
  </sheetViews>
  <sheetFormatPr defaultRowHeight="15" x14ac:dyDescent="0.25"/>
  <cols>
    <col min="1" max="1" width="3" customWidth="1"/>
    <col min="2" max="2" width="38" customWidth="1"/>
    <col min="3" max="5" width="16" customWidth="1"/>
    <col min="6" max="6" width="42" customWidth="1"/>
  </cols>
  <sheetData>
    <row r="2" spans="2:6" ht="27.95" customHeight="1" x14ac:dyDescent="0.25">
      <c r="B2" s="25" t="s">
        <v>31</v>
      </c>
      <c r="C2" s="23"/>
      <c r="D2" s="23"/>
      <c r="E2" s="23"/>
      <c r="F2" s="23"/>
    </row>
    <row r="3" spans="2:6" x14ac:dyDescent="0.25">
      <c r="B3" s="26" t="s">
        <v>32</v>
      </c>
      <c r="C3" s="23"/>
      <c r="D3" s="23"/>
      <c r="E3" s="23"/>
      <c r="F3" s="23"/>
    </row>
    <row r="5" spans="2:6" ht="21.95" customHeight="1" x14ac:dyDescent="0.25">
      <c r="B5" s="6" t="s">
        <v>33</v>
      </c>
      <c r="C5" s="6" t="s">
        <v>34</v>
      </c>
      <c r="D5" s="6" t="s">
        <v>35</v>
      </c>
      <c r="E5" s="6" t="s">
        <v>36</v>
      </c>
      <c r="F5" s="6" t="s">
        <v>37</v>
      </c>
    </row>
    <row r="6" spans="2:6" x14ac:dyDescent="0.25">
      <c r="B6" s="27" t="s">
        <v>38</v>
      </c>
      <c r="C6" s="23"/>
      <c r="D6" s="23"/>
      <c r="E6" s="23"/>
      <c r="F6" s="23"/>
    </row>
    <row r="7" spans="2:6" x14ac:dyDescent="0.25">
      <c r="B7" s="3" t="s">
        <v>39</v>
      </c>
      <c r="C7" s="7">
        <v>10500</v>
      </c>
      <c r="D7" s="7">
        <v>3200</v>
      </c>
      <c r="E7" s="7">
        <v>-200</v>
      </c>
      <c r="F7" s="8" t="s">
        <v>40</v>
      </c>
    </row>
    <row r="8" spans="2:6" x14ac:dyDescent="0.25">
      <c r="B8" s="3" t="s">
        <v>41</v>
      </c>
      <c r="C8" s="9">
        <v>0.22</v>
      </c>
      <c r="D8" s="9">
        <v>0.22</v>
      </c>
      <c r="E8" s="9">
        <v>0.22</v>
      </c>
      <c r="F8" s="8" t="s">
        <v>42</v>
      </c>
    </row>
    <row r="9" spans="2:6" x14ac:dyDescent="0.25">
      <c r="B9" s="27" t="s">
        <v>43</v>
      </c>
      <c r="C9" s="23"/>
      <c r="D9" s="23"/>
      <c r="E9" s="23"/>
      <c r="F9" s="23"/>
    </row>
    <row r="10" spans="2:6" x14ac:dyDescent="0.25">
      <c r="B10" s="3" t="s">
        <v>44</v>
      </c>
      <c r="C10" s="7">
        <v>28000</v>
      </c>
      <c r="D10" s="7">
        <v>32000</v>
      </c>
      <c r="E10" s="7">
        <v>8000</v>
      </c>
      <c r="F10" s="8" t="s">
        <v>45</v>
      </c>
    </row>
    <row r="11" spans="2:6" x14ac:dyDescent="0.25">
      <c r="B11" s="3" t="s">
        <v>46</v>
      </c>
      <c r="C11" s="7">
        <v>2000</v>
      </c>
      <c r="D11" s="7">
        <v>18000</v>
      </c>
      <c r="E11" s="7">
        <v>16000</v>
      </c>
      <c r="F11" s="8" t="s">
        <v>47</v>
      </c>
    </row>
    <row r="12" spans="2:6" x14ac:dyDescent="0.25">
      <c r="B12" s="3" t="s">
        <v>48</v>
      </c>
      <c r="C12" s="7">
        <v>5000</v>
      </c>
      <c r="D12" s="7">
        <v>4000</v>
      </c>
      <c r="E12" s="7">
        <v>1000</v>
      </c>
      <c r="F12" s="8" t="s">
        <v>49</v>
      </c>
    </row>
    <row r="13" spans="2:6" x14ac:dyDescent="0.25">
      <c r="B13" s="3" t="s">
        <v>50</v>
      </c>
      <c r="C13" s="7">
        <v>0</v>
      </c>
      <c r="D13" s="7">
        <v>0</v>
      </c>
      <c r="E13" s="7">
        <v>0</v>
      </c>
      <c r="F13" s="8" t="s">
        <v>51</v>
      </c>
    </row>
    <row r="14" spans="2:6" x14ac:dyDescent="0.25">
      <c r="B14" s="3" t="s">
        <v>52</v>
      </c>
      <c r="C14" s="7">
        <v>0</v>
      </c>
      <c r="D14" s="7">
        <v>0</v>
      </c>
      <c r="E14" s="7">
        <v>0</v>
      </c>
      <c r="F14" s="8" t="s">
        <v>53</v>
      </c>
    </row>
    <row r="15" spans="2:6" x14ac:dyDescent="0.25">
      <c r="B15" s="27" t="s">
        <v>54</v>
      </c>
      <c r="C15" s="23"/>
      <c r="D15" s="23"/>
      <c r="E15" s="23"/>
      <c r="F15" s="23"/>
    </row>
    <row r="16" spans="2:6" x14ac:dyDescent="0.25">
      <c r="B16" s="3" t="s">
        <v>55</v>
      </c>
      <c r="C16" s="7">
        <v>130000</v>
      </c>
      <c r="D16" s="7">
        <v>25000</v>
      </c>
      <c r="E16" s="7">
        <v>6000</v>
      </c>
      <c r="F16" s="8" t="s">
        <v>56</v>
      </c>
    </row>
    <row r="17" spans="2:6" x14ac:dyDescent="0.25">
      <c r="B17" s="3" t="s">
        <v>57</v>
      </c>
      <c r="C17" s="7">
        <v>2000</v>
      </c>
      <c r="D17" s="7">
        <v>18000</v>
      </c>
      <c r="E17" s="7">
        <v>16000</v>
      </c>
      <c r="F17" s="8" t="s">
        <v>58</v>
      </c>
    </row>
    <row r="18" spans="2:6" x14ac:dyDescent="0.25">
      <c r="B18" s="27" t="s">
        <v>59</v>
      </c>
      <c r="C18" s="23"/>
      <c r="D18" s="23"/>
      <c r="E18" s="23"/>
      <c r="F18" s="23"/>
    </row>
    <row r="19" spans="2:6" x14ac:dyDescent="0.25">
      <c r="B19" s="3" t="s">
        <v>60</v>
      </c>
      <c r="C19" s="9">
        <v>6.8000000000000005E-2</v>
      </c>
      <c r="D19" s="9">
        <v>6.8000000000000005E-2</v>
      </c>
      <c r="E19" s="9">
        <v>6.8000000000000005E-2</v>
      </c>
      <c r="F19" s="8" t="s">
        <v>61</v>
      </c>
    </row>
    <row r="20" spans="2:6" x14ac:dyDescent="0.25">
      <c r="B20" s="3" t="s">
        <v>62</v>
      </c>
      <c r="C20" s="9">
        <v>7.0000000000000007E-2</v>
      </c>
      <c r="D20" s="9">
        <v>7.0000000000000007E-2</v>
      </c>
      <c r="E20" s="9">
        <v>7.0000000000000007E-2</v>
      </c>
      <c r="F20" s="8" t="s">
        <v>63</v>
      </c>
    </row>
    <row r="21" spans="2:6" x14ac:dyDescent="0.25">
      <c r="B21" s="3" t="s">
        <v>64</v>
      </c>
      <c r="C21" s="10">
        <v>0.7</v>
      </c>
      <c r="D21" s="10">
        <v>1.1000000000000001</v>
      </c>
      <c r="E21" s="10">
        <v>1.6</v>
      </c>
      <c r="F21" s="8" t="s">
        <v>65</v>
      </c>
    </row>
    <row r="22" spans="2:6" x14ac:dyDescent="0.25">
      <c r="B22" s="3" t="s">
        <v>66</v>
      </c>
      <c r="C22" s="9">
        <v>0.08</v>
      </c>
      <c r="D22" s="9">
        <v>0.09</v>
      </c>
      <c r="E22" s="9">
        <v>0.12</v>
      </c>
      <c r="F22" s="8" t="s">
        <v>67</v>
      </c>
    </row>
  </sheetData>
  <mergeCells count="6">
    <mergeCell ref="B6:F6"/>
    <mergeCell ref="B2:F2"/>
    <mergeCell ref="B15:F15"/>
    <mergeCell ref="B18:F18"/>
    <mergeCell ref="B3:F3"/>
    <mergeCell ref="B9:F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4"/>
  <sheetViews>
    <sheetView showGridLines="0" workbookViewId="0"/>
  </sheetViews>
  <sheetFormatPr defaultRowHeight="15" x14ac:dyDescent="0.25"/>
  <cols>
    <col min="1" max="1" width="3" customWidth="1"/>
    <col min="2" max="2" width="42" customWidth="1"/>
    <col min="3" max="5" width="18" customWidth="1"/>
    <col min="6" max="6" width="52" customWidth="1"/>
  </cols>
  <sheetData>
    <row r="2" spans="2:6" ht="27.95" customHeight="1" x14ac:dyDescent="0.25">
      <c r="B2" s="25" t="s">
        <v>68</v>
      </c>
      <c r="C2" s="23"/>
      <c r="D2" s="23"/>
      <c r="E2" s="23"/>
      <c r="F2" s="23"/>
    </row>
    <row r="3" spans="2:6" x14ac:dyDescent="0.25">
      <c r="B3" s="26" t="s">
        <v>69</v>
      </c>
      <c r="C3" s="23"/>
      <c r="D3" s="23"/>
      <c r="E3" s="23"/>
      <c r="F3" s="23"/>
    </row>
    <row r="5" spans="2:6" ht="21.95" customHeight="1" x14ac:dyDescent="0.25">
      <c r="B5" s="6" t="s">
        <v>70</v>
      </c>
      <c r="C5" s="6" t="s">
        <v>34</v>
      </c>
      <c r="D5" s="6" t="s">
        <v>35</v>
      </c>
      <c r="E5" s="6" t="s">
        <v>36</v>
      </c>
      <c r="F5" s="6" t="s">
        <v>71</v>
      </c>
    </row>
    <row r="6" spans="2:6" x14ac:dyDescent="0.25">
      <c r="B6" s="3" t="s">
        <v>72</v>
      </c>
      <c r="C6" s="11">
        <f>EBITI</f>
        <v>10500</v>
      </c>
      <c r="D6" s="11">
        <f>EBITS</f>
        <v>3200</v>
      </c>
      <c r="E6" s="11">
        <f>EBITK</f>
        <v>-200</v>
      </c>
      <c r="F6" s="8" t="s">
        <v>73</v>
      </c>
    </row>
    <row r="7" spans="2:6" x14ac:dyDescent="0.25">
      <c r="B7" s="3" t="s">
        <v>41</v>
      </c>
      <c r="C7" s="12">
        <f>tI</f>
        <v>0.22</v>
      </c>
      <c r="D7" s="12">
        <f>tS</f>
        <v>0.22</v>
      </c>
      <c r="E7" s="12">
        <f>tK</f>
        <v>0.22</v>
      </c>
      <c r="F7" s="8" t="s">
        <v>74</v>
      </c>
    </row>
    <row r="8" spans="2:6" x14ac:dyDescent="0.25">
      <c r="B8" s="3" t="s">
        <v>75</v>
      </c>
      <c r="C8" s="13">
        <f>1-tI</f>
        <v>0.78</v>
      </c>
      <c r="D8" s="13">
        <f>1-tS</f>
        <v>0.78</v>
      </c>
      <c r="E8" s="13">
        <f>1-tK</f>
        <v>0.78</v>
      </c>
      <c r="F8" s="8" t="s">
        <v>76</v>
      </c>
    </row>
    <row r="9" spans="2:6" x14ac:dyDescent="0.25">
      <c r="B9" s="3" t="s">
        <v>77</v>
      </c>
      <c r="C9" s="14">
        <f>EBITI*(1-tI)</f>
        <v>8190</v>
      </c>
      <c r="D9" s="14">
        <f>EBITS*(1-tS)</f>
        <v>2496</v>
      </c>
      <c r="E9" s="14">
        <f>EBITK*(1-tK)</f>
        <v>-156</v>
      </c>
      <c r="F9" s="8" t="s">
        <v>78</v>
      </c>
    </row>
    <row r="11" spans="2:6" x14ac:dyDescent="0.25">
      <c r="B11" s="28" t="s">
        <v>79</v>
      </c>
      <c r="C11" s="23"/>
      <c r="D11" s="23"/>
      <c r="E11" s="23"/>
      <c r="F11" s="23"/>
    </row>
    <row r="12" spans="2:6" x14ac:dyDescent="0.25">
      <c r="B12" s="24" t="s">
        <v>80</v>
      </c>
      <c r="C12" s="23"/>
      <c r="D12" s="23"/>
      <c r="E12" s="23"/>
      <c r="F12" s="23"/>
    </row>
    <row r="13" spans="2:6" x14ac:dyDescent="0.25">
      <c r="B13" s="24" t="s">
        <v>81</v>
      </c>
      <c r="C13" s="23"/>
      <c r="D13" s="23"/>
      <c r="E13" s="23"/>
      <c r="F13" s="23"/>
    </row>
    <row r="14" spans="2:6" x14ac:dyDescent="0.25">
      <c r="B14" s="24" t="s">
        <v>82</v>
      </c>
      <c r="C14" s="23"/>
      <c r="D14" s="23"/>
      <c r="E14" s="23"/>
      <c r="F14" s="23"/>
    </row>
  </sheetData>
  <mergeCells count="6">
    <mergeCell ref="B12:F12"/>
    <mergeCell ref="B2:F2"/>
    <mergeCell ref="B11:F11"/>
    <mergeCell ref="B3:F3"/>
    <mergeCell ref="B14:F14"/>
    <mergeCell ref="B13:F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7"/>
  <sheetViews>
    <sheetView showGridLines="0" workbookViewId="0"/>
  </sheetViews>
  <sheetFormatPr defaultRowHeight="15" x14ac:dyDescent="0.25"/>
  <cols>
    <col min="1" max="1" width="3" customWidth="1"/>
    <col min="2" max="2" width="42" customWidth="1"/>
    <col min="3" max="5" width="18" customWidth="1"/>
    <col min="6" max="6" width="52" customWidth="1"/>
  </cols>
  <sheetData>
    <row r="2" spans="2:6" ht="27.95" customHeight="1" x14ac:dyDescent="0.25">
      <c r="B2" s="25" t="s">
        <v>83</v>
      </c>
      <c r="C2" s="23"/>
      <c r="D2" s="23"/>
      <c r="E2" s="23"/>
      <c r="F2" s="23"/>
    </row>
    <row r="3" spans="2:6" x14ac:dyDescent="0.25">
      <c r="B3" s="26" t="s">
        <v>84</v>
      </c>
      <c r="C3" s="23"/>
      <c r="D3" s="23"/>
      <c r="E3" s="23"/>
      <c r="F3" s="23"/>
    </row>
    <row r="5" spans="2:6" ht="21.95" customHeight="1" x14ac:dyDescent="0.25">
      <c r="B5" s="6" t="s">
        <v>70</v>
      </c>
      <c r="C5" s="6" t="s">
        <v>34</v>
      </c>
      <c r="D5" s="6" t="s">
        <v>35</v>
      </c>
      <c r="E5" s="6" t="s">
        <v>36</v>
      </c>
      <c r="F5" s="6" t="s">
        <v>71</v>
      </c>
    </row>
    <row r="6" spans="2:6" x14ac:dyDescent="0.25">
      <c r="B6" s="3" t="s">
        <v>44</v>
      </c>
      <c r="C6" s="11">
        <f>EqI</f>
        <v>28000</v>
      </c>
      <c r="D6" s="11">
        <f>EqS</f>
        <v>32000</v>
      </c>
      <c r="E6" s="11">
        <f>EqK</f>
        <v>8000</v>
      </c>
      <c r="F6" s="8" t="s">
        <v>85</v>
      </c>
    </row>
    <row r="7" spans="2:6" x14ac:dyDescent="0.25">
      <c r="B7" s="3" t="s">
        <v>86</v>
      </c>
      <c r="C7" s="11">
        <f>DbtI</f>
        <v>2000</v>
      </c>
      <c r="D7" s="11">
        <f>DbtS</f>
        <v>18000</v>
      </c>
      <c r="E7" s="11">
        <f>DbtK</f>
        <v>16000</v>
      </c>
      <c r="F7" s="8" t="s">
        <v>87</v>
      </c>
    </row>
    <row r="8" spans="2:6" x14ac:dyDescent="0.25">
      <c r="B8" s="3" t="s">
        <v>88</v>
      </c>
      <c r="C8" s="11">
        <f>-CashI</f>
        <v>-5000</v>
      </c>
      <c r="D8" s="11">
        <f>-CashS</f>
        <v>-4000</v>
      </c>
      <c r="E8" s="11">
        <f>-CashK</f>
        <v>-1000</v>
      </c>
      <c r="F8" s="8" t="s">
        <v>89</v>
      </c>
    </row>
    <row r="9" spans="2:6" x14ac:dyDescent="0.25">
      <c r="B9" s="3" t="s">
        <v>90</v>
      </c>
      <c r="C9" s="11">
        <f>RndI</f>
        <v>0</v>
      </c>
      <c r="D9" s="11">
        <f>RndS</f>
        <v>0</v>
      </c>
      <c r="E9" s="11">
        <f>RndK</f>
        <v>0</v>
      </c>
      <c r="F9" s="8" t="s">
        <v>91</v>
      </c>
    </row>
    <row r="10" spans="2:6" x14ac:dyDescent="0.25">
      <c r="B10" s="3" t="s">
        <v>92</v>
      </c>
      <c r="C10" s="11">
        <f>-NonOpI</f>
        <v>0</v>
      </c>
      <c r="D10" s="11">
        <f>-NonOpS</f>
        <v>0</v>
      </c>
      <c r="E10" s="11">
        <f>-NonOpK</f>
        <v>0</v>
      </c>
      <c r="F10" s="8" t="s">
        <v>93</v>
      </c>
    </row>
    <row r="11" spans="2:6" x14ac:dyDescent="0.25">
      <c r="B11" s="3" t="s">
        <v>94</v>
      </c>
      <c r="C11" s="14">
        <f>EqI+DbtI-CashI+RndI-NonOpI</f>
        <v>25000</v>
      </c>
      <c r="D11" s="14">
        <f>EqS+DbtS-CashS+RndS-NonOpS</f>
        <v>46000</v>
      </c>
      <c r="E11" s="14">
        <f>EqK+DbtK-CashK+RndK-NonOpK</f>
        <v>23000</v>
      </c>
      <c r="F11" s="8" t="s">
        <v>95</v>
      </c>
    </row>
    <row r="13" spans="2:6" x14ac:dyDescent="0.25">
      <c r="B13" s="28" t="s">
        <v>96</v>
      </c>
      <c r="C13" s="23"/>
      <c r="D13" s="23"/>
      <c r="E13" s="23"/>
      <c r="F13" s="23"/>
    </row>
    <row r="14" spans="2:6" x14ac:dyDescent="0.25">
      <c r="B14" s="24" t="s">
        <v>97</v>
      </c>
      <c r="C14" s="23"/>
      <c r="D14" s="23"/>
      <c r="E14" s="23"/>
      <c r="F14" s="23"/>
    </row>
    <row r="15" spans="2:6" x14ac:dyDescent="0.25">
      <c r="B15" s="24" t="s">
        <v>98</v>
      </c>
      <c r="C15" s="23"/>
      <c r="D15" s="23"/>
      <c r="E15" s="23"/>
      <c r="F15" s="23"/>
    </row>
    <row r="16" spans="2:6" x14ac:dyDescent="0.25">
      <c r="B16" s="24" t="s">
        <v>99</v>
      </c>
      <c r="C16" s="23"/>
      <c r="D16" s="23"/>
      <c r="E16" s="23"/>
      <c r="F16" s="23"/>
    </row>
    <row r="17" spans="2:6" x14ac:dyDescent="0.25">
      <c r="B17" s="24" t="s">
        <v>100</v>
      </c>
      <c r="C17" s="23"/>
      <c r="D17" s="23"/>
      <c r="E17" s="23"/>
      <c r="F17" s="23"/>
    </row>
  </sheetData>
  <mergeCells count="7">
    <mergeCell ref="B17:F17"/>
    <mergeCell ref="B13:F13"/>
    <mergeCell ref="B2:F2"/>
    <mergeCell ref="B16:F16"/>
    <mergeCell ref="B15:F15"/>
    <mergeCell ref="B3:F3"/>
    <mergeCell ref="B14:F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3"/>
  <sheetViews>
    <sheetView showGridLines="0" workbookViewId="0"/>
  </sheetViews>
  <sheetFormatPr defaultRowHeight="15" x14ac:dyDescent="0.25"/>
  <cols>
    <col min="1" max="1" width="3" customWidth="1"/>
    <col min="2" max="2" width="42" customWidth="1"/>
    <col min="3" max="5" width="18" customWidth="1"/>
    <col min="6" max="6" width="52" customWidth="1"/>
  </cols>
  <sheetData>
    <row r="2" spans="2:6" ht="27.95" customHeight="1" x14ac:dyDescent="0.25">
      <c r="B2" s="25" t="s">
        <v>101</v>
      </c>
      <c r="C2" s="23"/>
      <c r="D2" s="23"/>
      <c r="E2" s="23"/>
      <c r="F2" s="23"/>
    </row>
    <row r="3" spans="2:6" x14ac:dyDescent="0.25">
      <c r="B3" s="26" t="s">
        <v>102</v>
      </c>
      <c r="C3" s="23"/>
      <c r="D3" s="23"/>
      <c r="E3" s="23"/>
      <c r="F3" s="23"/>
    </row>
    <row r="5" spans="2:6" ht="21.95" customHeight="1" x14ac:dyDescent="0.25">
      <c r="B5" s="6" t="s">
        <v>70</v>
      </c>
      <c r="C5" s="6" t="s">
        <v>34</v>
      </c>
      <c r="D5" s="6" t="s">
        <v>35</v>
      </c>
      <c r="E5" s="6" t="s">
        <v>36</v>
      </c>
      <c r="F5" s="6" t="s">
        <v>71</v>
      </c>
    </row>
    <row r="6" spans="2:6" x14ac:dyDescent="0.25">
      <c r="B6" s="3" t="s">
        <v>55</v>
      </c>
      <c r="C6" s="11">
        <f>EmpI</f>
        <v>130000</v>
      </c>
      <c r="D6" s="11">
        <f>EmpS</f>
        <v>25000</v>
      </c>
      <c r="E6" s="11">
        <f>EmpK</f>
        <v>6000</v>
      </c>
      <c r="F6" s="8" t="s">
        <v>103</v>
      </c>
    </row>
    <row r="7" spans="2:6" x14ac:dyDescent="0.25">
      <c r="B7" s="3" t="s">
        <v>57</v>
      </c>
      <c r="C7" s="11">
        <f>DmpI</f>
        <v>2000</v>
      </c>
      <c r="D7" s="11">
        <f>DmpS</f>
        <v>18000</v>
      </c>
      <c r="E7" s="11">
        <f>DmpK</f>
        <v>16000</v>
      </c>
      <c r="F7" s="8" t="s">
        <v>104</v>
      </c>
    </row>
    <row r="8" spans="2:6" x14ac:dyDescent="0.25">
      <c r="B8" s="3" t="s">
        <v>105</v>
      </c>
      <c r="C8" s="11">
        <f>EmpI+DmpI</f>
        <v>132000</v>
      </c>
      <c r="D8" s="11">
        <f>EmpS+DmpS</f>
        <v>43000</v>
      </c>
      <c r="E8" s="11">
        <f>EmpK+DmpK</f>
        <v>22000</v>
      </c>
      <c r="F8" s="8" t="s">
        <v>106</v>
      </c>
    </row>
    <row r="9" spans="2:6" x14ac:dyDescent="0.25">
      <c r="B9" s="3" t="s">
        <v>107</v>
      </c>
      <c r="C9" s="13">
        <f>EmpI/(EmpI+DmpI)</f>
        <v>0.98484848484848486</v>
      </c>
      <c r="D9" s="13">
        <f>EmpS/(EmpS+DmpS)</f>
        <v>0.58139534883720934</v>
      </c>
      <c r="E9" s="13">
        <f>EmpK/(EmpK+DmpK)</f>
        <v>0.27272727272727271</v>
      </c>
      <c r="F9" s="8" t="s">
        <v>108</v>
      </c>
    </row>
    <row r="10" spans="2:6" x14ac:dyDescent="0.25">
      <c r="B10" s="3" t="s">
        <v>109</v>
      </c>
      <c r="C10" s="13">
        <f>DmpI/(EmpI+DmpI)</f>
        <v>1.5151515151515152E-2</v>
      </c>
      <c r="D10" s="13">
        <f>DmpS/(EmpS+DmpS)</f>
        <v>0.41860465116279072</v>
      </c>
      <c r="E10" s="13">
        <f>DmpK/(EmpK+DmpK)</f>
        <v>0.72727272727272729</v>
      </c>
      <c r="F10" s="8" t="s">
        <v>110</v>
      </c>
    </row>
    <row r="11" spans="2:6" x14ac:dyDescent="0.25">
      <c r="B11" s="3" t="s">
        <v>60</v>
      </c>
      <c r="C11" s="12">
        <f>RfI</f>
        <v>6.8000000000000005E-2</v>
      </c>
      <c r="D11" s="12">
        <f>RfS</f>
        <v>6.8000000000000005E-2</v>
      </c>
      <c r="E11" s="12">
        <f>RfK</f>
        <v>6.8000000000000005E-2</v>
      </c>
      <c r="F11" s="8" t="s">
        <v>111</v>
      </c>
    </row>
    <row r="12" spans="2:6" x14ac:dyDescent="0.25">
      <c r="B12" s="3" t="s">
        <v>62</v>
      </c>
      <c r="C12" s="12">
        <f>MRPI</f>
        <v>7.0000000000000007E-2</v>
      </c>
      <c r="D12" s="12">
        <f>MRPS</f>
        <v>7.0000000000000007E-2</v>
      </c>
      <c r="E12" s="12">
        <f>MRPK</f>
        <v>7.0000000000000007E-2</v>
      </c>
      <c r="F12" s="8" t="s">
        <v>112</v>
      </c>
    </row>
    <row r="13" spans="2:6" x14ac:dyDescent="0.25">
      <c r="B13" s="3" t="s">
        <v>113</v>
      </c>
      <c r="C13" s="15">
        <f>BetaI</f>
        <v>0.7</v>
      </c>
      <c r="D13" s="15">
        <f>BetaS</f>
        <v>1.1000000000000001</v>
      </c>
      <c r="E13" s="15">
        <f>BetaK</f>
        <v>1.6</v>
      </c>
      <c r="F13" s="8" t="s">
        <v>114</v>
      </c>
    </row>
    <row r="14" spans="2:6" x14ac:dyDescent="0.25">
      <c r="B14" s="3" t="s">
        <v>115</v>
      </c>
      <c r="C14" s="13">
        <f>RfI+BetaI*MRPI</f>
        <v>0.11700000000000001</v>
      </c>
      <c r="D14" s="13">
        <f>RfS+BetaS*MRPS</f>
        <v>0.14500000000000002</v>
      </c>
      <c r="E14" s="13">
        <f>RfK+BetaK*MRPK</f>
        <v>0.18000000000000002</v>
      </c>
      <c r="F14" s="8" t="s">
        <v>116</v>
      </c>
    </row>
    <row r="15" spans="2:6" x14ac:dyDescent="0.25">
      <c r="B15" s="3" t="s">
        <v>66</v>
      </c>
      <c r="C15" s="12">
        <f>RdI</f>
        <v>0.08</v>
      </c>
      <c r="D15" s="12">
        <f>RdS</f>
        <v>0.09</v>
      </c>
      <c r="E15" s="12">
        <f>RdK</f>
        <v>0.12</v>
      </c>
      <c r="F15" s="8" t="s">
        <v>117</v>
      </c>
    </row>
    <row r="16" spans="2:6" x14ac:dyDescent="0.25">
      <c r="B16" s="3" t="s">
        <v>75</v>
      </c>
      <c r="C16" s="13">
        <f>1-tI</f>
        <v>0.78</v>
      </c>
      <c r="D16" s="13">
        <f>1-tS</f>
        <v>0.78</v>
      </c>
      <c r="E16" s="13">
        <f>1-tK</f>
        <v>0.78</v>
      </c>
      <c r="F16" s="8" t="s">
        <v>118</v>
      </c>
    </row>
    <row r="17" spans="2:6" x14ac:dyDescent="0.25">
      <c r="B17" s="3" t="s">
        <v>119</v>
      </c>
      <c r="C17" s="13">
        <f>RdI*(1-tI)</f>
        <v>6.2400000000000004E-2</v>
      </c>
      <c r="D17" s="13">
        <f>RdS*(1-tS)</f>
        <v>7.0199999999999999E-2</v>
      </c>
      <c r="E17" s="13">
        <f>RdK*(1-tK)</f>
        <v>9.3600000000000003E-2</v>
      </c>
      <c r="F17" s="8" t="s">
        <v>120</v>
      </c>
    </row>
    <row r="18" spans="2:6" x14ac:dyDescent="0.25">
      <c r="B18" s="16" t="s">
        <v>121</v>
      </c>
      <c r="C18" s="17">
        <f>EmpI/(EmpI+DmpI)*(RfI+BetaI*MRPI)+DmpI/(EmpI+DmpI)*RdI*(1-tI)</f>
        <v>0.11617272727272727</v>
      </c>
      <c r="D18" s="17">
        <f>EmpS/(EmpS+DmpS)*(RfS+BetaS*MRPS)+DmpS/(EmpS+DmpS)*RdS*(1-tS)</f>
        <v>0.11368837209302327</v>
      </c>
      <c r="E18" s="17">
        <f>EmpK/(EmpK+DmpK)*(RfK+BetaK*MRPK)+DmpK/(EmpK+DmpK)*RdK*(1-tK)</f>
        <v>0.11716363636363636</v>
      </c>
      <c r="F18" s="18" t="s">
        <v>95</v>
      </c>
    </row>
    <row r="20" spans="2:6" x14ac:dyDescent="0.25">
      <c r="B20" s="28" t="s">
        <v>122</v>
      </c>
      <c r="C20" s="23"/>
      <c r="D20" s="23"/>
      <c r="E20" s="23"/>
      <c r="F20" s="23"/>
    </row>
    <row r="21" spans="2:6" x14ac:dyDescent="0.25">
      <c r="B21" s="24" t="s">
        <v>123</v>
      </c>
      <c r="C21" s="23"/>
      <c r="D21" s="23"/>
      <c r="E21" s="23"/>
      <c r="F21" s="23"/>
    </row>
    <row r="22" spans="2:6" x14ac:dyDescent="0.25">
      <c r="B22" s="24" t="s">
        <v>124</v>
      </c>
      <c r="C22" s="23"/>
      <c r="D22" s="23"/>
      <c r="E22" s="23"/>
      <c r="F22" s="23"/>
    </row>
    <row r="23" spans="2:6" x14ac:dyDescent="0.25">
      <c r="B23" s="24" t="s">
        <v>125</v>
      </c>
      <c r="C23" s="23"/>
      <c r="D23" s="23"/>
      <c r="E23" s="23"/>
      <c r="F23" s="23"/>
    </row>
  </sheetData>
  <mergeCells count="6">
    <mergeCell ref="B21:F21"/>
    <mergeCell ref="B2:F2"/>
    <mergeCell ref="B20:F20"/>
    <mergeCell ref="B3:F3"/>
    <mergeCell ref="B23:F23"/>
    <mergeCell ref="B22:F2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21"/>
  <sheetViews>
    <sheetView showGridLines="0" workbookViewId="0"/>
  </sheetViews>
  <sheetFormatPr defaultRowHeight="15" x14ac:dyDescent="0.25"/>
  <cols>
    <col min="1" max="1" width="3" customWidth="1"/>
    <col min="2" max="2" width="42" customWidth="1"/>
    <col min="3" max="5" width="18" customWidth="1"/>
    <col min="6" max="6" width="52" customWidth="1"/>
  </cols>
  <sheetData>
    <row r="2" spans="2:6" ht="27.95" customHeight="1" x14ac:dyDescent="0.25">
      <c r="B2" s="25" t="s">
        <v>126</v>
      </c>
      <c r="C2" s="23"/>
      <c r="D2" s="23"/>
      <c r="E2" s="23"/>
      <c r="F2" s="23"/>
    </row>
    <row r="3" spans="2:6" x14ac:dyDescent="0.25">
      <c r="B3" s="26" t="s">
        <v>127</v>
      </c>
      <c r="C3" s="23"/>
      <c r="D3" s="23"/>
      <c r="E3" s="23"/>
      <c r="F3" s="23"/>
    </row>
    <row r="5" spans="2:6" ht="21.95" customHeight="1" x14ac:dyDescent="0.25">
      <c r="B5" s="6" t="s">
        <v>33</v>
      </c>
      <c r="C5" s="6" t="s">
        <v>34</v>
      </c>
      <c r="D5" s="6" t="s">
        <v>35</v>
      </c>
      <c r="E5" s="6" t="s">
        <v>36</v>
      </c>
      <c r="F5" s="6" t="s">
        <v>71</v>
      </c>
    </row>
    <row r="6" spans="2:6" x14ac:dyDescent="0.25">
      <c r="B6" s="3" t="s">
        <v>128</v>
      </c>
      <c r="C6" s="11">
        <f>NOPATI</f>
        <v>8190</v>
      </c>
      <c r="D6" s="11">
        <f>NOPATS</f>
        <v>2496</v>
      </c>
      <c r="E6" s="11">
        <f>NOPATK</f>
        <v>-156</v>
      </c>
      <c r="F6" s="8" t="s">
        <v>129</v>
      </c>
    </row>
    <row r="7" spans="2:6" x14ac:dyDescent="0.25">
      <c r="B7" s="3" t="s">
        <v>130</v>
      </c>
      <c r="C7" s="11">
        <f>CI_I</f>
        <v>25000</v>
      </c>
      <c r="D7" s="11">
        <f>CI_S</f>
        <v>46000</v>
      </c>
      <c r="E7" s="11">
        <f>CI_K</f>
        <v>23000</v>
      </c>
      <c r="F7" s="8" t="s">
        <v>131</v>
      </c>
    </row>
    <row r="8" spans="2:6" x14ac:dyDescent="0.25">
      <c r="B8" s="3" t="s">
        <v>132</v>
      </c>
      <c r="C8" s="13">
        <f>WACCI</f>
        <v>0.11617272727272727</v>
      </c>
      <c r="D8" s="13">
        <f>WACCS</f>
        <v>0.11368837209302327</v>
      </c>
      <c r="E8" s="13">
        <f>WACCK</f>
        <v>0.11716363636363636</v>
      </c>
      <c r="F8" s="8" t="s">
        <v>133</v>
      </c>
    </row>
    <row r="9" spans="2:6" x14ac:dyDescent="0.25">
      <c r="B9" s="3" t="s">
        <v>134</v>
      </c>
      <c r="C9" s="11">
        <f>WACCI*CI_I</f>
        <v>2904.318181818182</v>
      </c>
      <c r="D9" s="11">
        <f>WACCS*CI_S</f>
        <v>5229.6651162790704</v>
      </c>
      <c r="E9" s="11">
        <f>WACCK*CI_K</f>
        <v>2694.7636363636361</v>
      </c>
      <c r="F9" s="8" t="s">
        <v>135</v>
      </c>
    </row>
    <row r="10" spans="2:6" x14ac:dyDescent="0.25">
      <c r="B10" s="16" t="s">
        <v>136</v>
      </c>
      <c r="C10" s="14">
        <f>NOPATI-WACCI*CI_I</f>
        <v>5285.681818181818</v>
      </c>
      <c r="D10" s="14">
        <f>NOPATS-WACCS*CI_S</f>
        <v>-2733.6651162790704</v>
      </c>
      <c r="E10" s="14">
        <f>NOPATK-WACCK*CI_K</f>
        <v>-2850.7636363636361</v>
      </c>
      <c r="F10" s="18" t="s">
        <v>137</v>
      </c>
    </row>
    <row r="11" spans="2:6" x14ac:dyDescent="0.25">
      <c r="B11" s="19" t="s">
        <v>138</v>
      </c>
      <c r="C11" s="20" t="str">
        <f>IF(EVAI&gt;=0,"CIPTAKAN NILAI","HANCURKAN NILAI")</f>
        <v>CIPTAKAN NILAI</v>
      </c>
      <c r="D11" s="20" t="str">
        <f>IF(EVAS&gt;=0,"CIPTAKAN NILAI","HANCURKAN NILAI")</f>
        <v>HANCURKAN NILAI</v>
      </c>
      <c r="E11" s="20" t="str">
        <f>IF(EVAK&gt;=0,"CIPTAKAN NILAI","HANCURKAN NILAI")</f>
        <v>HANCURKAN NILAI</v>
      </c>
      <c r="F11" s="8" t="s">
        <v>139</v>
      </c>
    </row>
    <row r="13" spans="2:6" x14ac:dyDescent="0.25">
      <c r="B13" s="28" t="s">
        <v>140</v>
      </c>
      <c r="C13" s="23"/>
      <c r="D13" s="23"/>
      <c r="E13" s="23"/>
      <c r="F13" s="23"/>
    </row>
    <row r="14" spans="2:6" x14ac:dyDescent="0.25">
      <c r="B14" s="3" t="s">
        <v>141</v>
      </c>
      <c r="C14" s="13">
        <f>NOPATI/CI_I</f>
        <v>0.3276</v>
      </c>
      <c r="D14" s="13">
        <f>NOPATS/CI_S</f>
        <v>5.426086956521739E-2</v>
      </c>
      <c r="E14" s="13">
        <f>NOPATK/CI_K</f>
        <v>-6.7826086956521738E-3</v>
      </c>
      <c r="F14" s="8" t="s">
        <v>142</v>
      </c>
    </row>
    <row r="15" spans="2:6" x14ac:dyDescent="0.25">
      <c r="B15" s="3" t="s">
        <v>143</v>
      </c>
      <c r="C15" s="13">
        <f>NOPATI/CI_I-WACCI</f>
        <v>0.21142727272727274</v>
      </c>
      <c r="D15" s="13">
        <f>NOPATS/CI_S-WACCS</f>
        <v>-5.9427502527805875E-2</v>
      </c>
      <c r="E15" s="13">
        <f>NOPATK/CI_K-WACCK</f>
        <v>-0.12394624505928853</v>
      </c>
      <c r="F15" s="8" t="s">
        <v>144</v>
      </c>
    </row>
    <row r="16" spans="2:6" x14ac:dyDescent="0.25">
      <c r="B16" s="3" t="s">
        <v>145</v>
      </c>
      <c r="C16" s="21">
        <f>(NOPATI/CI_I-WACCI)*CI_I</f>
        <v>5285.6818181818189</v>
      </c>
      <c r="D16" s="21">
        <f>(NOPATS/CI_S-WACCS)*CI_S</f>
        <v>-2733.6651162790704</v>
      </c>
      <c r="E16" s="21">
        <f>(NOPATK/CI_K-WACCK)*CI_K</f>
        <v>-2850.7636363636361</v>
      </c>
      <c r="F16" s="8" t="s">
        <v>146</v>
      </c>
    </row>
    <row r="18" spans="2:6" x14ac:dyDescent="0.25">
      <c r="B18" s="28" t="s">
        <v>147</v>
      </c>
      <c r="C18" s="23"/>
      <c r="D18" s="23"/>
      <c r="E18" s="23"/>
      <c r="F18" s="23"/>
    </row>
    <row r="19" spans="2:6" x14ac:dyDescent="0.25">
      <c r="B19" s="24" t="s">
        <v>148</v>
      </c>
      <c r="C19" s="23"/>
      <c r="D19" s="23"/>
      <c r="E19" s="23"/>
      <c r="F19" s="23"/>
    </row>
    <row r="20" spans="2:6" x14ac:dyDescent="0.25">
      <c r="B20" s="24" t="s">
        <v>149</v>
      </c>
      <c r="C20" s="23"/>
      <c r="D20" s="23"/>
      <c r="E20" s="23"/>
      <c r="F20" s="23"/>
    </row>
    <row r="21" spans="2:6" x14ac:dyDescent="0.25">
      <c r="B21" s="24" t="s">
        <v>150</v>
      </c>
      <c r="C21" s="23"/>
      <c r="D21" s="23"/>
      <c r="E21" s="23"/>
      <c r="F21" s="23"/>
    </row>
  </sheetData>
  <mergeCells count="7">
    <mergeCell ref="B21:F21"/>
    <mergeCell ref="B2:F2"/>
    <mergeCell ref="B20:F20"/>
    <mergeCell ref="B3:F3"/>
    <mergeCell ref="B19:F19"/>
    <mergeCell ref="B18:F18"/>
    <mergeCell ref="B13:F13"/>
  </mergeCells>
  <conditionalFormatting sqref="C10:E10">
    <cfRule type="expression" dxfId="5" priority="1">
      <formula>C10&gt;=0</formula>
    </cfRule>
    <cfRule type="expression" dxfId="4" priority="2">
      <formula>C10&lt;0</formula>
    </cfRule>
  </conditionalFormatting>
  <conditionalFormatting sqref="C11:E11">
    <cfRule type="expression" dxfId="3" priority="7">
      <formula>C11="CIPTAKAN NILAI"</formula>
    </cfRule>
    <cfRule type="expression" dxfId="2" priority="8">
      <formula>C11="HANCURKAN NILAI"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41"/>
  <sheetViews>
    <sheetView showGridLines="0" workbookViewId="0"/>
  </sheetViews>
  <sheetFormatPr defaultRowHeight="15" x14ac:dyDescent="0.25"/>
  <cols>
    <col min="1" max="1" width="3" customWidth="1"/>
    <col min="2" max="5" width="16" customWidth="1"/>
    <col min="6" max="6" width="40" customWidth="1"/>
  </cols>
  <sheetData>
    <row r="2" spans="2:6" ht="27.95" customHeight="1" x14ac:dyDescent="0.25">
      <c r="B2" s="25" t="s">
        <v>151</v>
      </c>
      <c r="C2" s="23"/>
      <c r="D2" s="23"/>
      <c r="E2" s="23"/>
      <c r="F2" s="23"/>
    </row>
    <row r="3" spans="2:6" x14ac:dyDescent="0.25">
      <c r="B3" s="26" t="s">
        <v>152</v>
      </c>
      <c r="C3" s="23"/>
      <c r="D3" s="23"/>
      <c r="E3" s="23"/>
      <c r="F3" s="23"/>
    </row>
    <row r="5" spans="2:6" ht="21.95" customHeight="1" x14ac:dyDescent="0.25">
      <c r="B5" s="6" t="s">
        <v>153</v>
      </c>
      <c r="C5" s="6" t="s">
        <v>34</v>
      </c>
      <c r="D5" s="6" t="s">
        <v>35</v>
      </c>
      <c r="E5" s="6" t="s">
        <v>36</v>
      </c>
      <c r="F5" s="6" t="s">
        <v>154</v>
      </c>
    </row>
    <row r="6" spans="2:6" x14ac:dyDescent="0.25">
      <c r="B6" s="3" t="s">
        <v>155</v>
      </c>
      <c r="C6" s="11">
        <f>EBITI</f>
        <v>10500</v>
      </c>
      <c r="D6" s="11">
        <f>EBITS</f>
        <v>3200</v>
      </c>
      <c r="E6" s="11">
        <f>EBITK</f>
        <v>-200</v>
      </c>
      <c r="F6" s="8" t="s">
        <v>156</v>
      </c>
    </row>
    <row r="7" spans="2:6" x14ac:dyDescent="0.25">
      <c r="B7" s="3" t="s">
        <v>157</v>
      </c>
      <c r="C7" s="11">
        <f>NOPATI</f>
        <v>8190</v>
      </c>
      <c r="D7" s="11">
        <f>NOPATS</f>
        <v>2496</v>
      </c>
      <c r="E7" s="11">
        <f>NOPATK</f>
        <v>-156</v>
      </c>
      <c r="F7" s="8" t="s">
        <v>129</v>
      </c>
    </row>
    <row r="8" spans="2:6" x14ac:dyDescent="0.25">
      <c r="B8" s="3" t="s">
        <v>158</v>
      </c>
      <c r="C8" s="11">
        <f>CI_I</f>
        <v>25000</v>
      </c>
      <c r="D8" s="11">
        <f>CI_S</f>
        <v>46000</v>
      </c>
      <c r="E8" s="11">
        <f>CI_K</f>
        <v>23000</v>
      </c>
      <c r="F8" s="8" t="s">
        <v>131</v>
      </c>
    </row>
    <row r="9" spans="2:6" x14ac:dyDescent="0.25">
      <c r="B9" s="3" t="s">
        <v>159</v>
      </c>
      <c r="C9" s="13">
        <f>WACCI</f>
        <v>0.11617272727272727</v>
      </c>
      <c r="D9" s="13">
        <f>WACCS</f>
        <v>0.11368837209302327</v>
      </c>
      <c r="E9" s="13">
        <f>WACCK</f>
        <v>0.11716363636363636</v>
      </c>
      <c r="F9" s="8" t="s">
        <v>160</v>
      </c>
    </row>
    <row r="10" spans="2:6" x14ac:dyDescent="0.25">
      <c r="B10" s="3" t="s">
        <v>161</v>
      </c>
      <c r="C10" s="13">
        <f>NOPATI/CI_I</f>
        <v>0.3276</v>
      </c>
      <c r="D10" s="13">
        <f>NOPATS/CI_S</f>
        <v>5.426086956521739E-2</v>
      </c>
      <c r="E10" s="13">
        <f>NOPATK/CI_K</f>
        <v>-6.7826086956521738E-3</v>
      </c>
      <c r="F10" s="8" t="s">
        <v>162</v>
      </c>
    </row>
    <row r="11" spans="2:6" x14ac:dyDescent="0.25">
      <c r="B11" s="3" t="s">
        <v>163</v>
      </c>
      <c r="C11" s="13">
        <f>NOPATI/CI_I-WACCI</f>
        <v>0.21142727272727274</v>
      </c>
      <c r="D11" s="13">
        <f>NOPATS/CI_S-WACCS</f>
        <v>-5.9427502527805875E-2</v>
      </c>
      <c r="E11" s="13">
        <f>NOPATK/CI_K-WACCK</f>
        <v>-0.12394624505928853</v>
      </c>
      <c r="F11" s="8" t="s">
        <v>164</v>
      </c>
    </row>
    <row r="12" spans="2:6" x14ac:dyDescent="0.25">
      <c r="B12" s="3" t="s">
        <v>165</v>
      </c>
      <c r="C12" s="11">
        <f>WACCI*CI_I</f>
        <v>2904.318181818182</v>
      </c>
      <c r="D12" s="11">
        <f>WACCS*CI_S</f>
        <v>5229.6651162790704</v>
      </c>
      <c r="E12" s="11">
        <f>WACCK*CI_K</f>
        <v>2694.7636363636361</v>
      </c>
      <c r="F12" s="8" t="s">
        <v>166</v>
      </c>
    </row>
    <row r="13" spans="2:6" x14ac:dyDescent="0.25">
      <c r="B13" s="3" t="s">
        <v>167</v>
      </c>
      <c r="C13" s="14">
        <f>EVAI</f>
        <v>5285.681818181818</v>
      </c>
      <c r="D13" s="14">
        <f>EVAS</f>
        <v>-2733.6651162790704</v>
      </c>
      <c r="E13" s="14">
        <f>EVAK</f>
        <v>-2850.7636363636361</v>
      </c>
      <c r="F13" s="8" t="s">
        <v>168</v>
      </c>
    </row>
    <row r="35" spans="2:6" x14ac:dyDescent="0.25">
      <c r="B35" s="28" t="s">
        <v>169</v>
      </c>
      <c r="C35" s="23"/>
      <c r="D35" s="23"/>
      <c r="E35" s="23"/>
      <c r="F35" s="23"/>
    </row>
    <row r="36" spans="2:6" x14ac:dyDescent="0.25">
      <c r="B36" s="24" t="s">
        <v>170</v>
      </c>
      <c r="C36" s="23"/>
      <c r="D36" s="23"/>
      <c r="E36" s="23"/>
      <c r="F36" s="23"/>
    </row>
    <row r="37" spans="2:6" x14ac:dyDescent="0.25">
      <c r="B37" s="24" t="s">
        <v>171</v>
      </c>
      <c r="C37" s="23"/>
      <c r="D37" s="23"/>
      <c r="E37" s="23"/>
      <c r="F37" s="23"/>
    </row>
    <row r="38" spans="2:6" x14ac:dyDescent="0.25">
      <c r="B38" s="24" t="s">
        <v>172</v>
      </c>
      <c r="C38" s="23"/>
      <c r="D38" s="23"/>
      <c r="E38" s="23"/>
      <c r="F38" s="23"/>
    </row>
    <row r="39" spans="2:6" x14ac:dyDescent="0.25">
      <c r="B39" s="24" t="s">
        <v>173</v>
      </c>
      <c r="C39" s="23"/>
      <c r="D39" s="23"/>
      <c r="E39" s="23"/>
      <c r="F39" s="23"/>
    </row>
    <row r="40" spans="2:6" x14ac:dyDescent="0.25">
      <c r="B40" s="24" t="s">
        <v>174</v>
      </c>
      <c r="C40" s="23"/>
      <c r="D40" s="23"/>
      <c r="E40" s="23"/>
      <c r="F40" s="23"/>
    </row>
    <row r="41" spans="2:6" x14ac:dyDescent="0.25">
      <c r="B41" s="24" t="s">
        <v>175</v>
      </c>
      <c r="C41" s="23"/>
      <c r="D41" s="23"/>
      <c r="E41" s="23"/>
      <c r="F41" s="23"/>
    </row>
  </sheetData>
  <mergeCells count="9">
    <mergeCell ref="B2:F2"/>
    <mergeCell ref="B3:F3"/>
    <mergeCell ref="B37:F37"/>
    <mergeCell ref="B36:F36"/>
    <mergeCell ref="B40:F40"/>
    <mergeCell ref="B41:F41"/>
    <mergeCell ref="B35:F35"/>
    <mergeCell ref="B39:F39"/>
    <mergeCell ref="B38:F38"/>
  </mergeCells>
  <conditionalFormatting sqref="C13:E13">
    <cfRule type="expression" dxfId="1" priority="1">
      <formula>C13&gt;=0</formula>
    </cfRule>
    <cfRule type="expression" dxfId="0" priority="2">
      <formula>C13&lt;0</formula>
    </cfRule>
  </conditionalFormatting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57"/>
  <sheetViews>
    <sheetView showGridLines="0" workbookViewId="0"/>
  </sheetViews>
  <sheetFormatPr defaultRowHeight="15" x14ac:dyDescent="0.25"/>
  <cols>
    <col min="1" max="1" width="3" customWidth="1"/>
    <col min="2" max="2" width="28" customWidth="1"/>
    <col min="3" max="3" width="82" customWidth="1"/>
  </cols>
  <sheetData>
    <row r="2" spans="2:3" ht="27.95" customHeight="1" x14ac:dyDescent="0.25">
      <c r="B2" s="25" t="s">
        <v>176</v>
      </c>
      <c r="C2" s="23"/>
    </row>
    <row r="4" spans="2:3" ht="21.95" customHeight="1" x14ac:dyDescent="0.25">
      <c r="B4" s="28" t="s">
        <v>177</v>
      </c>
      <c r="C4" s="23"/>
    </row>
    <row r="5" spans="2:3" x14ac:dyDescent="0.25">
      <c r="B5" s="2" t="s">
        <v>167</v>
      </c>
      <c r="C5" s="3" t="s">
        <v>178</v>
      </c>
    </row>
    <row r="6" spans="2:3" x14ac:dyDescent="0.25">
      <c r="B6" s="2" t="s">
        <v>179</v>
      </c>
      <c r="C6" s="3" t="s">
        <v>180</v>
      </c>
    </row>
    <row r="7" spans="2:3" x14ac:dyDescent="0.25">
      <c r="B7" s="2" t="s">
        <v>161</v>
      </c>
      <c r="C7" s="3" t="s">
        <v>141</v>
      </c>
    </row>
    <row r="9" spans="2:3" ht="21.95" customHeight="1" x14ac:dyDescent="0.25">
      <c r="B9" s="28" t="s">
        <v>157</v>
      </c>
      <c r="C9" s="23"/>
    </row>
    <row r="10" spans="2:3" x14ac:dyDescent="0.25">
      <c r="B10" s="2" t="s">
        <v>157</v>
      </c>
      <c r="C10" s="3" t="s">
        <v>77</v>
      </c>
    </row>
    <row r="11" spans="2:3" x14ac:dyDescent="0.25">
      <c r="B11" s="2" t="s">
        <v>155</v>
      </c>
      <c r="C11" s="3" t="s">
        <v>181</v>
      </c>
    </row>
    <row r="12" spans="2:3" x14ac:dyDescent="0.25">
      <c r="B12" s="2" t="s">
        <v>182</v>
      </c>
      <c r="C12" s="3" t="s">
        <v>183</v>
      </c>
    </row>
    <row r="13" spans="2:3" x14ac:dyDescent="0.25">
      <c r="B13" s="2" t="s">
        <v>184</v>
      </c>
      <c r="C13" s="3" t="s">
        <v>185</v>
      </c>
    </row>
    <row r="15" spans="2:3" ht="21.95" customHeight="1" x14ac:dyDescent="0.25">
      <c r="B15" s="28" t="s">
        <v>186</v>
      </c>
      <c r="C15" s="23"/>
    </row>
    <row r="16" spans="2:3" x14ac:dyDescent="0.25">
      <c r="B16" s="2" t="s">
        <v>187</v>
      </c>
      <c r="C16" s="3" t="s">
        <v>188</v>
      </c>
    </row>
    <row r="17" spans="2:3" x14ac:dyDescent="0.25">
      <c r="B17" s="2" t="s">
        <v>179</v>
      </c>
      <c r="C17" s="3" t="s">
        <v>189</v>
      </c>
    </row>
    <row r="18" spans="2:3" x14ac:dyDescent="0.25">
      <c r="B18" s="2" t="s">
        <v>44</v>
      </c>
      <c r="C18" s="3" t="s">
        <v>190</v>
      </c>
    </row>
    <row r="19" spans="2:3" x14ac:dyDescent="0.25">
      <c r="B19" s="2" t="s">
        <v>46</v>
      </c>
      <c r="C19" s="3" t="s">
        <v>191</v>
      </c>
    </row>
    <row r="20" spans="2:3" x14ac:dyDescent="0.25">
      <c r="B20" s="2" t="s">
        <v>48</v>
      </c>
      <c r="C20" s="3" t="s">
        <v>192</v>
      </c>
    </row>
    <row r="22" spans="2:3" ht="21.95" customHeight="1" x14ac:dyDescent="0.25">
      <c r="B22" s="28" t="s">
        <v>159</v>
      </c>
      <c r="C22" s="23"/>
    </row>
    <row r="23" spans="2:3" x14ac:dyDescent="0.25">
      <c r="B23" s="2" t="s">
        <v>193</v>
      </c>
      <c r="C23" s="3" t="s">
        <v>194</v>
      </c>
    </row>
    <row r="24" spans="2:3" x14ac:dyDescent="0.25">
      <c r="B24" s="2" t="s">
        <v>195</v>
      </c>
      <c r="C24" s="3" t="s">
        <v>196</v>
      </c>
    </row>
    <row r="25" spans="2:3" x14ac:dyDescent="0.25">
      <c r="B25" s="2" t="s">
        <v>197</v>
      </c>
      <c r="C25" s="3" t="s">
        <v>105</v>
      </c>
    </row>
    <row r="26" spans="2:3" x14ac:dyDescent="0.25">
      <c r="B26" s="2" t="s">
        <v>198</v>
      </c>
      <c r="C26" s="3" t="s">
        <v>199</v>
      </c>
    </row>
    <row r="27" spans="2:3" x14ac:dyDescent="0.25">
      <c r="B27" s="2" t="s">
        <v>200</v>
      </c>
      <c r="C27" s="3" t="s">
        <v>201</v>
      </c>
    </row>
    <row r="28" spans="2:3" x14ac:dyDescent="0.25">
      <c r="B28" s="2" t="s">
        <v>202</v>
      </c>
      <c r="C28" s="3" t="s">
        <v>203</v>
      </c>
    </row>
    <row r="29" spans="2:3" x14ac:dyDescent="0.25">
      <c r="B29" s="2" t="s">
        <v>204</v>
      </c>
      <c r="C29" s="3" t="s">
        <v>205</v>
      </c>
    </row>
    <row r="30" spans="2:3" x14ac:dyDescent="0.25">
      <c r="B30" s="2" t="s">
        <v>206</v>
      </c>
      <c r="C30" s="3" t="s">
        <v>207</v>
      </c>
    </row>
    <row r="31" spans="2:3" x14ac:dyDescent="0.25">
      <c r="B31" s="2" t="s">
        <v>154</v>
      </c>
      <c r="C31" s="3" t="s">
        <v>208</v>
      </c>
    </row>
    <row r="33" spans="2:3" ht="21.95" customHeight="1" x14ac:dyDescent="0.25">
      <c r="B33" s="28" t="s">
        <v>209</v>
      </c>
      <c r="C33" s="23"/>
    </row>
    <row r="34" spans="2:3" x14ac:dyDescent="0.25">
      <c r="B34" s="2" t="s">
        <v>210</v>
      </c>
      <c r="C34" s="3" t="s">
        <v>211</v>
      </c>
    </row>
    <row r="35" spans="2:3" x14ac:dyDescent="0.25">
      <c r="B35" s="2" t="s">
        <v>212</v>
      </c>
      <c r="C35" s="3" t="s">
        <v>213</v>
      </c>
    </row>
    <row r="36" spans="2:3" x14ac:dyDescent="0.25">
      <c r="B36" s="2" t="s">
        <v>214</v>
      </c>
      <c r="C36" s="3" t="s">
        <v>215</v>
      </c>
    </row>
    <row r="38" spans="2:3" ht="21.95" customHeight="1" x14ac:dyDescent="0.25">
      <c r="B38" s="28" t="s">
        <v>216</v>
      </c>
      <c r="C38" s="23"/>
    </row>
    <row r="39" spans="2:3" x14ac:dyDescent="0.25">
      <c r="B39" s="2" t="s">
        <v>217</v>
      </c>
      <c r="C39" s="3" t="s">
        <v>218</v>
      </c>
    </row>
    <row r="40" spans="2:3" x14ac:dyDescent="0.25">
      <c r="B40" s="2" t="s">
        <v>219</v>
      </c>
      <c r="C40" s="3" t="s">
        <v>220</v>
      </c>
    </row>
    <row r="41" spans="2:3" x14ac:dyDescent="0.25">
      <c r="B41" s="2" t="s">
        <v>221</v>
      </c>
      <c r="C41" s="3" t="s">
        <v>222</v>
      </c>
    </row>
    <row r="42" spans="2:3" x14ac:dyDescent="0.25">
      <c r="B42" s="2" t="s">
        <v>223</v>
      </c>
      <c r="C42" s="3" t="s">
        <v>224</v>
      </c>
    </row>
    <row r="44" spans="2:3" ht="21.95" customHeight="1" x14ac:dyDescent="0.25">
      <c r="B44" s="28" t="s">
        <v>225</v>
      </c>
      <c r="C44" s="23"/>
    </row>
    <row r="45" spans="2:3" x14ac:dyDescent="0.25">
      <c r="B45" s="2" t="s">
        <v>226</v>
      </c>
      <c r="C45" s="3" t="s">
        <v>227</v>
      </c>
    </row>
    <row r="46" spans="2:3" x14ac:dyDescent="0.25">
      <c r="B46" s="2" t="s">
        <v>228</v>
      </c>
      <c r="C46" s="3" t="s">
        <v>229</v>
      </c>
    </row>
    <row r="47" spans="2:3" x14ac:dyDescent="0.25">
      <c r="B47" s="2" t="s">
        <v>230</v>
      </c>
      <c r="C47" s="3" t="s">
        <v>231</v>
      </c>
    </row>
    <row r="48" spans="2:3" x14ac:dyDescent="0.25">
      <c r="B48" s="2" t="s">
        <v>232</v>
      </c>
      <c r="C48" s="3" t="s">
        <v>233</v>
      </c>
    </row>
    <row r="50" spans="2:3" ht="21.95" customHeight="1" x14ac:dyDescent="0.25">
      <c r="B50" s="28" t="s">
        <v>234</v>
      </c>
      <c r="C50" s="23"/>
    </row>
    <row r="51" spans="2:3" x14ac:dyDescent="0.25">
      <c r="B51" s="2" t="s">
        <v>235</v>
      </c>
      <c r="C51" s="3" t="s">
        <v>236</v>
      </c>
    </row>
    <row r="52" spans="2:3" x14ac:dyDescent="0.25">
      <c r="B52" s="2" t="s">
        <v>237</v>
      </c>
      <c r="C52" s="3" t="s">
        <v>238</v>
      </c>
    </row>
    <row r="53" spans="2:3" x14ac:dyDescent="0.25">
      <c r="B53" s="2" t="s">
        <v>239</v>
      </c>
      <c r="C53" s="3" t="s">
        <v>240</v>
      </c>
    </row>
    <row r="54" spans="2:3" x14ac:dyDescent="0.25">
      <c r="B54" s="2" t="s">
        <v>241</v>
      </c>
      <c r="C54" s="3" t="s">
        <v>242</v>
      </c>
    </row>
    <row r="57" spans="2:3" x14ac:dyDescent="0.25">
      <c r="B57" s="22" t="s">
        <v>243</v>
      </c>
      <c r="C57" s="23"/>
    </row>
  </sheetData>
  <mergeCells count="10">
    <mergeCell ref="B2:C2"/>
    <mergeCell ref="B44:C44"/>
    <mergeCell ref="B15:C15"/>
    <mergeCell ref="B33:C33"/>
    <mergeCell ref="B22:C22"/>
    <mergeCell ref="B50:C50"/>
    <mergeCell ref="B9:C9"/>
    <mergeCell ref="B57:C57"/>
    <mergeCell ref="B4:C4"/>
    <mergeCell ref="B38:C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54</vt:i4>
      </vt:variant>
    </vt:vector>
  </HeadingPairs>
  <TitlesOfParts>
    <vt:vector size="62" baseType="lpstr">
      <vt:lpstr>1_PETUNJUK</vt:lpstr>
      <vt:lpstr>1_INPUT</vt:lpstr>
      <vt:lpstr>2_NOPAT</vt:lpstr>
      <vt:lpstr>3_CAPITAL</vt:lpstr>
      <vt:lpstr>4_WACC</vt:lpstr>
      <vt:lpstr>5_EVA</vt:lpstr>
      <vt:lpstr>6_PERBANDINGAN</vt:lpstr>
      <vt:lpstr>7_RUMUS</vt:lpstr>
      <vt:lpstr>BetaI</vt:lpstr>
      <vt:lpstr>BetaK</vt:lpstr>
      <vt:lpstr>BetaS</vt:lpstr>
      <vt:lpstr>CashI</vt:lpstr>
      <vt:lpstr>CashK</vt:lpstr>
      <vt:lpstr>CashS</vt:lpstr>
      <vt:lpstr>CI_I</vt:lpstr>
      <vt:lpstr>CI_K</vt:lpstr>
      <vt:lpstr>CI_S</vt:lpstr>
      <vt:lpstr>DbtI</vt:lpstr>
      <vt:lpstr>DbtK</vt:lpstr>
      <vt:lpstr>DbtS</vt:lpstr>
      <vt:lpstr>DmpI</vt:lpstr>
      <vt:lpstr>DmpK</vt:lpstr>
      <vt:lpstr>DmpS</vt:lpstr>
      <vt:lpstr>EBITI</vt:lpstr>
      <vt:lpstr>EBITK</vt:lpstr>
      <vt:lpstr>EBITS</vt:lpstr>
      <vt:lpstr>EmpI</vt:lpstr>
      <vt:lpstr>EmpK</vt:lpstr>
      <vt:lpstr>EmpS</vt:lpstr>
      <vt:lpstr>EqI</vt:lpstr>
      <vt:lpstr>EqK</vt:lpstr>
      <vt:lpstr>EqS</vt:lpstr>
      <vt:lpstr>EVAI</vt:lpstr>
      <vt:lpstr>EVAK</vt:lpstr>
      <vt:lpstr>EVAS</vt:lpstr>
      <vt:lpstr>MRPI</vt:lpstr>
      <vt:lpstr>MRPK</vt:lpstr>
      <vt:lpstr>MRPS</vt:lpstr>
      <vt:lpstr>NonOpI</vt:lpstr>
      <vt:lpstr>NonOpK</vt:lpstr>
      <vt:lpstr>NonOpS</vt:lpstr>
      <vt:lpstr>NOPATI</vt:lpstr>
      <vt:lpstr>NOPATK</vt:lpstr>
      <vt:lpstr>NOPATS</vt:lpstr>
      <vt:lpstr>RdI</vt:lpstr>
      <vt:lpstr>RdK</vt:lpstr>
      <vt:lpstr>RdS</vt:lpstr>
      <vt:lpstr>ReI</vt:lpstr>
      <vt:lpstr>ReK</vt:lpstr>
      <vt:lpstr>ReS</vt:lpstr>
      <vt:lpstr>RfI</vt:lpstr>
      <vt:lpstr>RfK</vt:lpstr>
      <vt:lpstr>RfS</vt:lpstr>
      <vt:lpstr>RndI</vt:lpstr>
      <vt:lpstr>RndK</vt:lpstr>
      <vt:lpstr>RndS</vt:lpstr>
      <vt:lpstr>tI</vt:lpstr>
      <vt:lpstr>tK</vt:lpstr>
      <vt:lpstr>tS</vt:lpstr>
      <vt:lpstr>WACCI</vt:lpstr>
      <vt:lpstr>WACCK</vt:lpstr>
      <vt:lpstr>WACCS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2026-07-18T17:38:32Z</dcterms:created>
  <dcterms:modified xsi:type="dcterms:W3CDTF">2026-07-18T17:39:01Z</dcterms:modified>
</cp:coreProperties>
</file>