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00bf8c8dc2a59fb/Claude/Personal/atlas/05-Tech/stdsquare-hugo/static/excel/"/>
    </mc:Choice>
  </mc:AlternateContent>
  <xr:revisionPtr revIDLastSave="0" documentId="11_BB264A46248A6B82C8D4C669EB5EF12D9E3F816D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0_PETUNJUK" sheetId="1" r:id="rId1"/>
    <sheet name="1_INPUT" sheetId="2" r:id="rId2"/>
    <sheet name="2_ALOKASI_STAGE" sheetId="3" r:id="rId3"/>
    <sheet name="3_STAGE_1" sheetId="4" r:id="rId4"/>
    <sheet name="4_STAGE_2" sheetId="5" r:id="rId5"/>
    <sheet name="5_STAGE_3" sheetId="6" r:id="rId6"/>
    <sheet name="6_RINGKASAN_CEK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D20" i="7"/>
  <c r="F10" i="6"/>
  <c r="G10" i="6" s="1"/>
  <c r="E10" i="6"/>
  <c r="D10" i="6"/>
  <c r="C10" i="6"/>
  <c r="B10" i="6"/>
  <c r="F9" i="6"/>
  <c r="G9" i="6" s="1"/>
  <c r="E9" i="6"/>
  <c r="D9" i="6"/>
  <c r="C9" i="6"/>
  <c r="B9" i="6"/>
  <c r="F8" i="6"/>
  <c r="G8" i="6" s="1"/>
  <c r="E8" i="6"/>
  <c r="D8" i="6"/>
  <c r="C8" i="6"/>
  <c r="B8" i="6"/>
  <c r="F7" i="6"/>
  <c r="G7" i="6" s="1"/>
  <c r="E7" i="6"/>
  <c r="D7" i="6"/>
  <c r="C7" i="6"/>
  <c r="B7" i="6"/>
  <c r="F6" i="6"/>
  <c r="G6" i="6" s="1"/>
  <c r="E6" i="6"/>
  <c r="D6" i="6"/>
  <c r="C6" i="6"/>
  <c r="B6" i="6"/>
  <c r="G10" i="5"/>
  <c r="F10" i="5"/>
  <c r="E10" i="5"/>
  <c r="C10" i="5"/>
  <c r="G9" i="5"/>
  <c r="F9" i="5"/>
  <c r="E9" i="5"/>
  <c r="C9" i="5"/>
  <c r="G8" i="5"/>
  <c r="F8" i="5"/>
  <c r="E8" i="5"/>
  <c r="C8" i="5"/>
  <c r="G10" i="4"/>
  <c r="H10" i="4" s="1"/>
  <c r="E10" i="4"/>
  <c r="D10" i="4"/>
  <c r="C10" i="4"/>
  <c r="B10" i="4"/>
  <c r="G9" i="4"/>
  <c r="H9" i="4" s="1"/>
  <c r="E9" i="4"/>
  <c r="D9" i="4"/>
  <c r="C9" i="4"/>
  <c r="B9" i="4"/>
  <c r="G8" i="4"/>
  <c r="H8" i="4" s="1"/>
  <c r="E8" i="4"/>
  <c r="D8" i="4"/>
  <c r="C8" i="4"/>
  <c r="B8" i="4"/>
  <c r="G7" i="4"/>
  <c r="H7" i="4" s="1"/>
  <c r="E7" i="4"/>
  <c r="D7" i="4"/>
  <c r="C7" i="4"/>
  <c r="B7" i="4"/>
  <c r="G6" i="4"/>
  <c r="H6" i="4" s="1"/>
  <c r="E6" i="4"/>
  <c r="D6" i="4"/>
  <c r="C6" i="4"/>
  <c r="B6" i="4"/>
  <c r="F10" i="3"/>
  <c r="H10" i="3" s="1"/>
  <c r="E10" i="3"/>
  <c r="D10" i="3"/>
  <c r="C10" i="3"/>
  <c r="B10" i="3"/>
  <c r="F9" i="3"/>
  <c r="H9" i="3" s="1"/>
  <c r="E9" i="3"/>
  <c r="D9" i="3"/>
  <c r="C9" i="3"/>
  <c r="B9" i="3"/>
  <c r="F8" i="3"/>
  <c r="H8" i="3" s="1"/>
  <c r="E8" i="3"/>
  <c r="D8" i="3"/>
  <c r="C8" i="3"/>
  <c r="B8" i="3"/>
  <c r="F7" i="3"/>
  <c r="G7" i="3" s="1"/>
  <c r="E7" i="3"/>
  <c r="D7" i="3"/>
  <c r="C7" i="3"/>
  <c r="B7" i="3"/>
  <c r="F6" i="3"/>
  <c r="H6" i="3" s="1"/>
  <c r="E6" i="3"/>
  <c r="D6" i="3"/>
  <c r="C6" i="3"/>
  <c r="B6" i="3"/>
  <c r="C27" i="2"/>
  <c r="C22" i="7" s="1"/>
  <c r="E22" i="7" s="1"/>
  <c r="F22" i="7" s="1"/>
  <c r="C26" i="2"/>
  <c r="C20" i="7" s="1"/>
  <c r="E20" i="7" s="1"/>
  <c r="F20" i="7" s="1"/>
  <c r="E25" i="2"/>
  <c r="E24" i="2"/>
  <c r="E23" i="2"/>
  <c r="C12" i="2"/>
  <c r="C21" i="7" s="1"/>
  <c r="E21" i="7" s="1"/>
  <c r="F21" i="7" s="1"/>
  <c r="D10" i="5" l="1"/>
  <c r="H10" i="5" s="1"/>
  <c r="I10" i="5" s="1"/>
  <c r="D8" i="5"/>
  <c r="H8" i="5" s="1"/>
  <c r="I8" i="5" s="1"/>
  <c r="F6" i="4"/>
  <c r="F9" i="4"/>
  <c r="D9" i="5"/>
  <c r="H9" i="5" s="1"/>
  <c r="I9" i="5" s="1"/>
  <c r="D19" i="7" s="1"/>
  <c r="G8" i="3"/>
  <c r="F10" i="4"/>
  <c r="F7" i="4"/>
  <c r="F8" i="4"/>
  <c r="H7" i="3"/>
  <c r="I7" i="4" s="1"/>
  <c r="I8" i="4"/>
  <c r="H8" i="6"/>
  <c r="I8" i="6" s="1"/>
  <c r="C15" i="3"/>
  <c r="C14" i="3"/>
  <c r="C13" i="3"/>
  <c r="I6" i="4"/>
  <c r="H6" i="6"/>
  <c r="I6" i="6" s="1"/>
  <c r="I9" i="4"/>
  <c r="H9" i="6"/>
  <c r="I9" i="6"/>
  <c r="I10" i="4"/>
  <c r="H10" i="6"/>
  <c r="I10" i="6" s="1"/>
  <c r="G9" i="3"/>
  <c r="D26" i="2"/>
  <c r="G10" i="3"/>
  <c r="H7" i="6"/>
  <c r="I7" i="6" s="1"/>
  <c r="G6" i="3"/>
  <c r="I11" i="5" l="1"/>
  <c r="D17" i="7"/>
  <c r="I11" i="4"/>
  <c r="D16" i="7"/>
  <c r="I11" i="6"/>
  <c r="C19" i="7"/>
  <c r="E19" i="7" s="1"/>
  <c r="F19" i="7" s="1"/>
  <c r="C8" i="7"/>
  <c r="D8" i="7" s="1"/>
  <c r="C9" i="7" l="1"/>
  <c r="D9" i="7" s="1"/>
  <c r="C17" i="7"/>
  <c r="E17" i="7" s="1"/>
  <c r="F17" i="7" s="1"/>
  <c r="C16" i="7"/>
  <c r="E16" i="7" s="1"/>
  <c r="F16" i="7" s="1"/>
  <c r="C7" i="7"/>
  <c r="C10" i="7" l="1"/>
  <c r="D18" i="7"/>
  <c r="D7" i="7"/>
  <c r="C12" i="7" l="1"/>
  <c r="D10" i="7"/>
  <c r="D28" i="7"/>
  <c r="D29" i="7" s="1"/>
  <c r="C27" i="7"/>
  <c r="C29" i="7" s="1"/>
  <c r="E29" i="7" s="1"/>
  <c r="C18" i="7"/>
  <c r="E18" i="7" s="1"/>
  <c r="F18" i="7" s="1"/>
</calcChain>
</file>

<file path=xl/sharedStrings.xml><?xml version="1.0" encoding="utf-8"?>
<sst xmlns="http://schemas.openxmlformats.org/spreadsheetml/2006/main" count="211" uniqueCount="188">
  <si>
    <t>ECL / CKPN — MODEL 3 STAGE PSAK 71 / IFRS 9</t>
  </si>
  <si>
    <t>PT Bank Nusantara Mikra · Portofolio Piutang UMKM · Per 31 Desember 2025 (Rp juta)</t>
  </si>
  <si>
    <t>PAKAI CARA INI:</t>
  </si>
  <si>
    <t>1. INPUT</t>
  </si>
  <si>
    <t>Isi sel BIRU: data 5 fasilitas UMKM (outstanding, DPD, grade, kolateral, tenor, EIR), matriks PD per grade, skenario makro forward-looking, ambang DPD.</t>
  </si>
  <si>
    <t>2. ALOKASI_STAGE</t>
  </si>
  <si>
    <t>Otomatis menentukan Stage 1/2/3 per fasilitas berdasarkan DPD + asesmen SICR (PSAK 71 paragraf 5.5.5-5.5.10). Output: stage definitif.</t>
  </si>
  <si>
    <t>3. STAGE_1</t>
  </si>
  <si>
    <t>Otomatis. ECL 12-bulan = EAD x PD_12m(forward-look) x LGD untuk fasilitas performing. Tanpa diskonto.</t>
  </si>
  <si>
    <t>4. STAGE_2</t>
  </si>
  <si>
    <t>Otomatis. ECL seumur hidup terdiskonto = SUM(PD_marginal(t) x LGD x EAD x DF(t)) untuk fasilitas SICR. Diskonto @ EIR.</t>
  </si>
  <si>
    <t>5. STAGE_3</t>
  </si>
  <si>
    <t>Otomatis. ECL = PD(100%) x LGD x EAD untuk fasilitas credit-impaired. PD = 100% karena sudah default.</t>
  </si>
  <si>
    <t>6. RINGKASAN_CEK</t>
  </si>
  <si>
    <t>Tujuh uji konsistensi + total cadangan (provision) + jurnal CKPN. Semua formula hidup.</t>
  </si>
  <si>
    <t>LEGENDA WARNA:</t>
  </si>
  <si>
    <t>Input manual</t>
  </si>
  <si>
    <t>Sel biru = Anda ubah. Contoh: outstanding, DPD, grade, PD per grade, skenario makro.</t>
  </si>
  <si>
    <t>Formula hidup</t>
  </si>
  <si>
    <t>Sel hitam = dihitung otomatis. Jangan diketik ulang.</t>
  </si>
  <si>
    <t>Stage 1 / 2 / 3</t>
  </si>
  <si>
    <t>Biru muda = Stage 1 (12-bulan). Oranye muda = Stage 2 (seumur hidup, SICR). Merah muda = Stage 3 (credit-impaired).</t>
  </si>
  <si>
    <t>Header / total</t>
  </si>
  <si>
    <t>Sel hijau band = sub-judul; sel kuning = total penting (ECL per stage, total cadangan).</t>
  </si>
  <si>
    <t>ANGKA KUNCI (default, muncul di RINGKASAN_CEK):</t>
  </si>
  <si>
    <t>• Stage 1 ECL (2 fasilitas performing): Rp 2,9 juta   → 12-bulan ECL, tak terdiskonto</t>
  </si>
  <si>
    <t>• Stage 2 ECL (1 fasilitas SICR): Rp 23,4 juta        → seumur hidup, terdiskonto @ EIR 13%</t>
  </si>
  <si>
    <t>• Stage 3 ECL (2 fasilitas credit-impaired): Rp 100,0 juta → PD 100% x LGD x EAD</t>
  </si>
  <si>
    <t>• TOTAL CADANGAN CKPN: Rp 126,4 juta (~24,0% dari total EAD Rp 580 juta)</t>
  </si>
  <si>
    <t>• Forward-looking multiplier: 1,0375 (Optimis 25% x 0,80 + Base 50% x 1,00 + Pesimis 25% x 1,35)</t>
  </si>
  <si>
    <t>Referensi: PSAK 71 / IFRS 9 (Financial Instruments), paragraf 5.5 (impairment). POJK 17/SEOJK 17 (akuntansi perbankan). Format mengikuti standar IAI-OJK.</t>
  </si>
  <si>
    <t>INPUT DATA — PORTOFOLIO UMKM + ASUMSI MODEL</t>
  </si>
  <si>
    <t>PT Bank Nusantara Mikra · Per 31 Desember 2025 · Sel BIRU = input</t>
  </si>
  <si>
    <t>A. PORTOFOLIO PIUTANG UMKM (5 FASILITAS)</t>
  </si>
  <si>
    <t>Nama Debitur</t>
  </si>
  <si>
    <t>Outstanding
EAD (Rp jt)</t>
  </si>
  <si>
    <t>DPD
(hari)</t>
  </si>
  <si>
    <t>Grade
Kredit</t>
  </si>
  <si>
    <t>Recovery
(Kolateral)</t>
  </si>
  <si>
    <t>Tenor
Sisa (thn)</t>
  </si>
  <si>
    <t>EIR
(tahunan)</t>
  </si>
  <si>
    <t>Catatan</t>
  </si>
  <si>
    <t>CV Kopi Senja</t>
  </si>
  <si>
    <t>B</t>
  </si>
  <si>
    <t>Performing; lancar</t>
  </si>
  <si>
    <t>UD Berkah Jaya</t>
  </si>
  <si>
    <t>Toko Maju Bersama</t>
  </si>
  <si>
    <t>C</t>
  </si>
  <si>
    <t>Watch; SICR (DPD 31-90)</t>
  </si>
  <si>
    <t>CV Sumber Rejeki</t>
  </si>
  <si>
    <t>D</t>
  </si>
  <si>
    <t>Substandard; &gt;90 DPD</t>
  </si>
  <si>
    <t>PT Karya Mandiri</t>
  </si>
  <si>
    <t>E</t>
  </si>
  <si>
    <t>Doubtful; &gt;90 DPD</t>
  </si>
  <si>
    <t>TOTAL EAD PORTOFOLIO</t>
  </si>
  <si>
    <t>B. MATRIKS PD MARGINAL PER GRADE (THROUGH-THE-CYCLE, sebelum forward-looking)</t>
  </si>
  <si>
    <t>Grade</t>
  </si>
  <si>
    <t>PD 12-bulan
(= marginal thn 1)</t>
  </si>
  <si>
    <t>Marginal PD
Thn 2</t>
  </si>
  <si>
    <t>Marginal PD
Thn 3</t>
  </si>
  <si>
    <t>Good — lancar, risiko rendah</t>
  </si>
  <si>
    <t>Watch — perlu pemantauan ketat</t>
  </si>
  <si>
    <t>Substandard — kualitas buruk</t>
  </si>
  <si>
    <t>Doubtful — risiko gagal tinggi</t>
  </si>
  <si>
    <t>C. SKENARIO MAKRO FORWARD-LOOKING (PSAK 71 paragraf 5.5.9)</t>
  </si>
  <si>
    <t>Skenario</t>
  </si>
  <si>
    <t>Bobot</t>
  </si>
  <si>
    <t>Pengganda PD
(multiplier)</t>
  </si>
  <si>
    <t>Kontribusi terbobot (Bobot x Pengganda)</t>
  </si>
  <si>
    <t>Optimis</t>
  </si>
  <si>
    <t>Pertumbuhan ekonomi kuat, NPL turun</t>
  </si>
  <si>
    <t>Base</t>
  </si>
  <si>
    <t>Sesuai through-the-cycle</t>
  </si>
  <si>
    <t>Pesimis</t>
  </si>
  <si>
    <t>Resesi, NPL UMKM naik</t>
  </si>
  <si>
    <t>Total Bobot (harus 100%)</t>
  </si>
  <si>
    <t>PENGANDA FORWARD-LOOKING (gabungan)</t>
  </si>
  <si>
    <t>'= SUM(bobot x multiplier)</t>
  </si>
  <si>
    <t>Dikalikan ke PD base untuk dapat PD forward-looking. Default 1,0375x.</t>
  </si>
  <si>
    <t>D. AMBANG DAYS PAST DUE (DPD) — REBUTTABLE PRESUMPTION PSAK 71</t>
  </si>
  <si>
    <t>Parameter</t>
  </si>
  <si>
    <t>Nilai (hari)</t>
  </si>
  <si>
    <t>Batas atas Stage 1 (DPD maksimum)</t>
  </si>
  <si>
    <t>DPD &lt;= 30 hari = performing (Stage 1). PSAK 71 B5.5.30-31.</t>
  </si>
  <si>
    <t>Batas atas Stage 2 (presumption SICR)</t>
  </si>
  <si>
    <t>DPD 31-90 hari = SICR (Stage 2). DPD &gt; 90 hari = credit-impaired (Stage 3).</t>
  </si>
  <si>
    <t>ALOKASI STAGE 1 / 2 / 3 — PSAK 71 PARAGRAF 5.5</t>
  </si>
  <si>
    <t>Tes DPD (rebuttable presumption) + SICR + credit-impaired. Output = stage definitif per fasilitas.</t>
  </si>
  <si>
    <t>EAD (Rp jt)</t>
  </si>
  <si>
    <t>DPD</t>
  </si>
  <si>
    <t>Tes DPD (1=perfor,2=SICR,3=imp)</t>
  </si>
  <si>
    <t>SICR Asesmen</t>
  </si>
  <si>
    <t>STAGE</t>
  </si>
  <si>
    <t>Algoritma</t>
  </si>
  <si>
    <t>RINGKASAN ALOKASI STAGE</t>
  </si>
  <si>
    <t>Stage 1 (12-bulan ECL, performing)</t>
  </si>
  <si>
    <t>Jumlah fasilitas performing</t>
  </si>
  <si>
    <t>Stage 2 (lifetime ECL, SICR)</t>
  </si>
  <si>
    <t>Jumlah fasilitas SICR (DPD 31-90 atau indikator lain)</t>
  </si>
  <si>
    <t>Stage 3 (lifetime ECL, credit-impaired)</t>
  </si>
  <si>
    <t>Jumlah fasilitas default / &gt;90 DPD</t>
  </si>
  <si>
    <t>STAGE 1 — ECL 12-BULAN (PERFORMING)</t>
  </si>
  <si>
    <t>PSAK 71 5.5.5(c): 12-month ECL = EAD x PD_12m(forward-look) x LGD. Tidak terdiskonto.</t>
  </si>
  <si>
    <t>PD 12m
(base)</t>
  </si>
  <si>
    <t>PD 12m
(fwd-look)</t>
  </si>
  <si>
    <t>Recovery</t>
  </si>
  <si>
    <t>LGD</t>
  </si>
  <si>
    <t>ECL 12-bulan
(Rp jt)</t>
  </si>
  <si>
    <t>TOTAL ECL STAGE 1 (12-bulan)</t>
  </si>
  <si>
    <t>FORMULA: ECL 12-bulan = EAD x PD_12m(forward-look) x LGD</t>
  </si>
  <si>
    <t>PD 12-bulan (forward-look) = PD base (through-the-cycle) x Pengganda Forward-Looking (1,0375x)</t>
  </si>
  <si>
    <t>LGD = 1 - Recovery Rate (nilai kolateral yang dapat direalisasi). Tidak ada diskonto (single period).</t>
  </si>
  <si>
    <t>STAGE 2 — ECL SEUMUR HIDUP TERDISKONTO (SICR)</t>
  </si>
  <si>
    <t>PSAK 71 5.5.15-5.5.17: lifetime ECL = SUM_t [ PD_marginal(t) x LGD x EAD x DF(t) ]. Diskonto @ EIR.</t>
  </si>
  <si>
    <t>FASILITAS STAGE 2: Toko Maju Bersama (Grade C, DPD 45, tenor 3 thn, EIR 13%)</t>
  </si>
  <si>
    <t>Tahun</t>
  </si>
  <si>
    <t>PD Marginal
(base)</t>
  </si>
  <si>
    <t>PD Marginal
(fwd-look)</t>
  </si>
  <si>
    <t>DF @ EIR 13%</t>
  </si>
  <si>
    <t>Loss Tak
Terdiskonto</t>
  </si>
  <si>
    <t>PV Loss
(Rp jt)</t>
  </si>
  <si>
    <t>Tahun 1</t>
  </si>
  <si>
    <t>Tahun 2</t>
  </si>
  <si>
    <t>Tahun 3</t>
  </si>
  <si>
    <t>TOTAL ECL STAGE 2 (PV)</t>
  </si>
  <si>
    <t>FORMULA &amp; CATATAN</t>
  </si>
  <si>
    <t>Formula per tahun: PV Loss(t) = PD_marginal(t, fwd-look) x LGD x EAD x [1 / (1 + EIR)^t]</t>
  </si>
  <si>
    <t>PD marginal (forward-look) = PD marginal base (matriks, through-the-cycle) x Pengganda Forward-Looking (1,0375x).</t>
  </si>
  <si>
    <t>Discount factor (DF) memakai EIR efektif aset (13% Toko Maju Bersama) — bukan WACC, sesuai PSAK 71 5.4.3 (effective interest method).</t>
  </si>
  <si>
    <t>Asumsi: EAD konstan = outstanding (konservatif; mengabaikan amortisasi pokok). LGD konstan sepanjang tenor.</t>
  </si>
  <si>
    <t>Lifetime PD kumulatif = 1 - (1-PD1)(1-PD2)(1-PD3). Untuk PD kecil, ~= SUM marginal (approksimasi standar OJK).</t>
  </si>
  <si>
    <t>STAGE 3 — ECL SEUMUR HIDUP (CREDIT-IMPAIRED, PD = 100%)</t>
  </si>
  <si>
    <t>PSAK 71 5.5.4 + Appendix B5.5: aset credit-impaired → PD = 100%. ECL = LGD x EAD.</t>
  </si>
  <si>
    <t>PD
(credit-impaired)</t>
  </si>
  <si>
    <t>ECL
(Rp jt)</t>
  </si>
  <si>
    <t>TOTAL ECL STAGE 3 (PD=100%)</t>
  </si>
  <si>
    <t>CATATAN STAGE 3</t>
  </si>
  <si>
    <t>PSAK 71 Appendix B5.5.42-46: bila ada bukti obyektif kerugian (DPD &gt; 90, restrukturisasi, bangkrut), aset = credit-impaired → PD = 100%.</t>
  </si>
  <si>
    <t>ECL = LGD x EAD (expected shortfall). Recovery Rate dari agunan/jaminan yang dapat direalisasi.</t>
  </si>
  <si>
    <t>Suku bunga tidak lagi diakui secara akrual (non-accrual); pendapatan bunga dihitung atas nilai tercatat bersih (net carrying amount).</t>
  </si>
  <si>
    <t>Diskonto: EAD sudah merupakan nilai amortized cost (PV arus kontraktual @ EIR), sehingga ECL = LGD x EAD adalah best estimate yang konsisten.</t>
  </si>
  <si>
    <t>RINGKASAN CADANGAN CKPN + CEK KONSISTENSI</t>
  </si>
  <si>
    <t>Total cadangan = Stage 1 + Stage 2 + Stage 3. Lalu tujuh tes konsistensi + jurnal CKPN.</t>
  </si>
  <si>
    <t>A. RINGKASAN CADANGAN CKPN (PROVISION)</t>
  </si>
  <si>
    <t>Komponen</t>
  </si>
  <si>
    <t>ECL (Rp jt)</t>
  </si>
  <si>
    <t>% dari EAD</t>
  </si>
  <si>
    <t>Stage 1 — ECL 12-bulan (performing)</t>
  </si>
  <si>
    <t>2 fasilitas Grade B lancar</t>
  </si>
  <si>
    <t>Stage 2 — Lifetime ECL terdiskonto (SICR)</t>
  </si>
  <si>
    <t>1 fasilitas Grade C, DPD 45 hari</t>
  </si>
  <si>
    <t>Stage 3 — Lifetime ECL (credit-impaired)</t>
  </si>
  <si>
    <t>2 fasilitas Grade D &amp; E, DPD &gt; 90</t>
  </si>
  <si>
    <t>TOTAL CADANGAN CKPN (ECL)</t>
  </si>
  <si>
    <t>Beban CKPN ke laba rugi</t>
  </si>
  <si>
    <t>Coverage Ratio (Cadangan / Total EAD)</t>
  </si>
  <si>
    <t>Bank sehat UMKM umumnya 2-8%; &gt;15% = portofolio tertekan</t>
  </si>
  <si>
    <t>B. CEK KONSISTENSI (7 TES OTOMATIS)</t>
  </si>
  <si>
    <t>Tes</t>
  </si>
  <si>
    <t>Angka A</t>
  </si>
  <si>
    <t>Angka B</t>
  </si>
  <si>
    <t>Selisih</t>
  </si>
  <si>
    <t>Verdict</t>
  </si>
  <si>
    <t>1. Stage 1 ECL (ringkasan) = SUM ECL per fasilitas Stage 1</t>
  </si>
  <si>
    <t>2. Stage 3 ECL (ringkasan) = SUM ECL per fasilitas Stage 3</t>
  </si>
  <si>
    <t>3. Total cadangan = Stage 1 + Stage 2 + Stage 3</t>
  </si>
  <si>
    <t>4. Stage 2 total = SUM PV Loss per tahun (Y1+Y2+Y3)</t>
  </si>
  <si>
    <t>5. Total bobot skenario makro = 100%</t>
  </si>
  <si>
    <t>6. Total EAD portofolio = SUM 5 fasilitas</t>
  </si>
  <si>
    <t>7. Pengganda forward-looking = SUMPRODUCT(bobot, multiplier)</t>
  </si>
  <si>
    <t>C. JURNAL PENGAKUAN CKPN (31 Des 2025)</t>
  </si>
  <si>
    <t>Asumsi: saldo cadangan CKPN awal (1 Jan 2025) = Rp 0 (porto baru).</t>
  </si>
  <si>
    <t>Akun</t>
  </si>
  <si>
    <t>Debit (Rp jt)</t>
  </si>
  <si>
    <t>Kredit (Rp jt)</t>
  </si>
  <si>
    <t>Formula</t>
  </si>
  <si>
    <t>Beban Kerugian Penurunan Nilai (CKPN)</t>
  </si>
  <si>
    <t>'= Total cadangan ECL (saldo awal = 0)</t>
  </si>
  <si>
    <t>Cadangan Kerugian Penurunan Nilai (Kontra Aset)</t>
  </si>
  <si>
    <t>Kontra piutang (mengurangi nilai buku bersih)</t>
  </si>
  <si>
    <t>Cek: Debit = Kredit</t>
  </si>
  <si>
    <t>D. CATATAN PEMODELAN</t>
  </si>
  <si>
    <t>PSAK 71 / IFRS 9 (efektif 1 Januari 2020 untuk entitas non-bank; bank Indonesia via POJK 17/SEOJK 17) menggantikan PSAK 55 (incurred loss model).</t>
  </si>
  <si>
    <t>Model 3-stage ini adalah general provision forward-looking: cadangan diakui sejak hari pertama (day-1 loss), BUKAN menunggu kerugian terjadi.</t>
  </si>
  <si>
    <t>Pengganda forward-looking 1,0375x menggabungkan 3 skenario makro (Optimis/Base/Pesimis). Ubah bobot/multiplier di 1_INPUT → seluruh ECL menghitung ulang.</t>
  </si>
  <si>
    <t>Untuk UMKM (retail), OJK mengizinkan pendekatan kolektif (collective assessment) dengan segmentasi grade — tidak perlu individual kecuali exposure besar.</t>
  </si>
  <si>
    <t>Stage 1 hanya 12-bulan ECL (pelengkap probabilistik ringan); Stage 2 &amp; 3 menangkap lifetime, menjadikan cadangan pro-siklikal di krisis.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</si>
</sst>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p&quot;#,##0"/>
    <numFmt numFmtId="165" formatCode="0.000%"/>
    <numFmt numFmtId="166" formatCode="0.00&quot;x&quot;"/>
    <numFmt numFmtId="167" formatCode="0.0000&quot;x&quot;"/>
    <numFmt numFmtId="168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  <fill>
      <patternFill patternType="solid">
        <fgColor rgb="FFBBDEFB"/>
      </patternFill>
    </fill>
    <fill>
      <patternFill patternType="solid">
        <fgColor rgb="FFFFE0B2"/>
      </patternFill>
    </fill>
    <fill>
      <patternFill patternType="solid">
        <fgColor rgb="FFFFCDD8"/>
      </patternFill>
    </fill>
    <fill>
      <patternFill patternType="solid">
        <fgColor rgb="FFC8E6C9"/>
      </patternFill>
    </fill>
  </fills>
  <borders count="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165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0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167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64" fontId="4" fillId="8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 wrapText="1"/>
    </xf>
    <xf numFmtId="10" fontId="4" fillId="8" borderId="1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4" fontId="3" fillId="8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0" fontId="4" fillId="6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10" fontId="4" fillId="7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3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left" vertical="center" wrapText="1"/>
    </xf>
    <xf numFmtId="0" fontId="0" fillId="7" borderId="0" xfId="0" applyFill="1"/>
    <xf numFmtId="0" fontId="2" fillId="8" borderId="0" xfId="0" applyFont="1" applyFill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80" customWidth="1"/>
  </cols>
  <sheetData>
    <row r="2" spans="2:3" ht="30" customHeight="1" x14ac:dyDescent="0.25">
      <c r="B2" s="50" t="s">
        <v>0</v>
      </c>
      <c r="C2" s="48"/>
    </row>
    <row r="3" spans="2:3" x14ac:dyDescent="0.25">
      <c r="B3" s="51" t="s">
        <v>1</v>
      </c>
      <c r="C3" s="48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1" spans="2:3" x14ac:dyDescent="0.25">
      <c r="B11" s="2" t="s">
        <v>13</v>
      </c>
      <c r="C11" s="3" t="s">
        <v>14</v>
      </c>
    </row>
    <row r="13" spans="2:3" x14ac:dyDescent="0.25">
      <c r="B13" s="1" t="s">
        <v>15</v>
      </c>
    </row>
    <row r="14" spans="2:3" x14ac:dyDescent="0.25">
      <c r="B14" s="4" t="s">
        <v>16</v>
      </c>
      <c r="C14" s="3" t="s">
        <v>17</v>
      </c>
    </row>
    <row r="15" spans="2:3" x14ac:dyDescent="0.25">
      <c r="B15" s="3" t="s">
        <v>18</v>
      </c>
      <c r="C15" s="3" t="s">
        <v>19</v>
      </c>
    </row>
    <row r="16" spans="2:3" ht="30" x14ac:dyDescent="0.25">
      <c r="B16" s="5" t="s">
        <v>20</v>
      </c>
      <c r="C16" s="3" t="s">
        <v>21</v>
      </c>
    </row>
    <row r="17" spans="2:3" x14ac:dyDescent="0.25">
      <c r="B17" s="6" t="s">
        <v>22</v>
      </c>
      <c r="C17" s="3" t="s">
        <v>23</v>
      </c>
    </row>
    <row r="19" spans="2:3" ht="30" x14ac:dyDescent="0.25">
      <c r="B19" s="1" t="s">
        <v>24</v>
      </c>
    </row>
    <row r="20" spans="2:3" x14ac:dyDescent="0.25">
      <c r="B20" s="49" t="s">
        <v>25</v>
      </c>
      <c r="C20" s="48"/>
    </row>
    <row r="21" spans="2:3" x14ac:dyDescent="0.25">
      <c r="B21" s="49" t="s">
        <v>26</v>
      </c>
      <c r="C21" s="48"/>
    </row>
    <row r="22" spans="2:3" x14ac:dyDescent="0.25">
      <c r="B22" s="49" t="s">
        <v>27</v>
      </c>
      <c r="C22" s="48"/>
    </row>
    <row r="23" spans="2:3" x14ac:dyDescent="0.25">
      <c r="B23" s="49" t="s">
        <v>28</v>
      </c>
      <c r="C23" s="48"/>
    </row>
    <row r="24" spans="2:3" x14ac:dyDescent="0.25">
      <c r="B24" s="49" t="s">
        <v>29</v>
      </c>
      <c r="C24" s="48"/>
    </row>
    <row r="26" spans="2:3" x14ac:dyDescent="0.25">
      <c r="B26" s="47" t="s">
        <v>30</v>
      </c>
      <c r="C26" s="48"/>
    </row>
  </sheetData>
  <mergeCells count="8">
    <mergeCell ref="B26:C26"/>
    <mergeCell ref="B21:C21"/>
    <mergeCell ref="B2:C2"/>
    <mergeCell ref="B24:C24"/>
    <mergeCell ref="B3:C3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2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6" customWidth="1"/>
    <col min="3" max="3" width="14" customWidth="1"/>
    <col min="4" max="6" width="12" customWidth="1"/>
    <col min="7" max="7" width="14" customWidth="1"/>
    <col min="8" max="8" width="12" customWidth="1"/>
    <col min="9" max="9" width="40" customWidth="1"/>
  </cols>
  <sheetData>
    <row r="2" spans="2:9" ht="26.1" customHeight="1" x14ac:dyDescent="0.25">
      <c r="B2" s="50" t="s">
        <v>31</v>
      </c>
      <c r="C2" s="48"/>
      <c r="D2" s="48"/>
      <c r="E2" s="48"/>
      <c r="F2" s="48"/>
      <c r="G2" s="48"/>
      <c r="H2" s="48"/>
      <c r="I2" s="48"/>
    </row>
    <row r="3" spans="2:9" x14ac:dyDescent="0.25">
      <c r="B3" s="51" t="s">
        <v>32</v>
      </c>
      <c r="C3" s="48"/>
      <c r="D3" s="48"/>
      <c r="E3" s="48"/>
      <c r="F3" s="48"/>
      <c r="G3" s="48"/>
      <c r="H3" s="48"/>
      <c r="I3" s="48"/>
    </row>
    <row r="5" spans="2:9" x14ac:dyDescent="0.25">
      <c r="B5" s="52" t="s">
        <v>33</v>
      </c>
      <c r="C5" s="48"/>
      <c r="D5" s="48"/>
      <c r="E5" s="48"/>
      <c r="F5" s="48"/>
      <c r="G5" s="48"/>
      <c r="H5" s="48"/>
      <c r="I5" s="53"/>
    </row>
    <row r="6" spans="2:9" ht="30" customHeight="1" x14ac:dyDescent="0.25">
      <c r="B6" s="6" t="s">
        <v>34</v>
      </c>
      <c r="C6" s="6" t="s">
        <v>35</v>
      </c>
      <c r="D6" s="6" t="s">
        <v>36</v>
      </c>
      <c r="E6" s="6" t="s">
        <v>37</v>
      </c>
      <c r="F6" s="6" t="s">
        <v>38</v>
      </c>
      <c r="G6" s="6" t="s">
        <v>39</v>
      </c>
      <c r="H6" s="6" t="s">
        <v>40</v>
      </c>
      <c r="I6" s="6" t="s">
        <v>41</v>
      </c>
    </row>
    <row r="7" spans="2:9" x14ac:dyDescent="0.25">
      <c r="B7" s="3" t="s">
        <v>42</v>
      </c>
      <c r="C7" s="7">
        <v>100</v>
      </c>
      <c r="D7" s="8">
        <v>0</v>
      </c>
      <c r="E7" s="8" t="s">
        <v>43</v>
      </c>
      <c r="F7" s="9">
        <v>0.5</v>
      </c>
      <c r="G7" s="8">
        <v>1</v>
      </c>
      <c r="H7" s="9">
        <v>0.12</v>
      </c>
      <c r="I7" s="10" t="s">
        <v>44</v>
      </c>
    </row>
    <row r="8" spans="2:9" x14ac:dyDescent="0.25">
      <c r="B8" s="3" t="s">
        <v>45</v>
      </c>
      <c r="C8" s="7">
        <v>150</v>
      </c>
      <c r="D8" s="8">
        <v>0</v>
      </c>
      <c r="E8" s="8" t="s">
        <v>43</v>
      </c>
      <c r="F8" s="9">
        <v>0.4</v>
      </c>
      <c r="G8" s="8">
        <v>2</v>
      </c>
      <c r="H8" s="9">
        <v>0.12</v>
      </c>
      <c r="I8" s="10" t="s">
        <v>44</v>
      </c>
    </row>
    <row r="9" spans="2:9" x14ac:dyDescent="0.25">
      <c r="B9" s="3" t="s">
        <v>46</v>
      </c>
      <c r="C9" s="7">
        <v>200</v>
      </c>
      <c r="D9" s="8">
        <v>45</v>
      </c>
      <c r="E9" s="8" t="s">
        <v>47</v>
      </c>
      <c r="F9" s="9">
        <v>0.3</v>
      </c>
      <c r="G9" s="8">
        <v>3</v>
      </c>
      <c r="H9" s="9">
        <v>0.13</v>
      </c>
      <c r="I9" s="10" t="s">
        <v>48</v>
      </c>
    </row>
    <row r="10" spans="2:9" x14ac:dyDescent="0.25">
      <c r="B10" s="3" t="s">
        <v>49</v>
      </c>
      <c r="C10" s="7">
        <v>80</v>
      </c>
      <c r="D10" s="8">
        <v>120</v>
      </c>
      <c r="E10" s="8" t="s">
        <v>50</v>
      </c>
      <c r="F10" s="9">
        <v>0.25</v>
      </c>
      <c r="G10" s="8">
        <v>2</v>
      </c>
      <c r="H10" s="9">
        <v>0.14000000000000001</v>
      </c>
      <c r="I10" s="10" t="s">
        <v>51</v>
      </c>
    </row>
    <row r="11" spans="2:9" x14ac:dyDescent="0.25">
      <c r="B11" s="3" t="s">
        <v>52</v>
      </c>
      <c r="C11" s="7">
        <v>50</v>
      </c>
      <c r="D11" s="8">
        <v>240</v>
      </c>
      <c r="E11" s="8" t="s">
        <v>53</v>
      </c>
      <c r="F11" s="9">
        <v>0.2</v>
      </c>
      <c r="G11" s="8">
        <v>2</v>
      </c>
      <c r="H11" s="9">
        <v>0.15</v>
      </c>
      <c r="I11" s="10" t="s">
        <v>54</v>
      </c>
    </row>
    <row r="12" spans="2:9" x14ac:dyDescent="0.25">
      <c r="B12" s="11" t="s">
        <v>55</v>
      </c>
      <c r="C12" s="12">
        <f>SUM(C7:C11)</f>
        <v>580</v>
      </c>
      <c r="D12" s="13"/>
      <c r="E12" s="13"/>
      <c r="F12" s="13"/>
      <c r="G12" s="13"/>
      <c r="H12" s="13"/>
      <c r="I12" s="13"/>
    </row>
    <row r="14" spans="2:9" x14ac:dyDescent="0.25">
      <c r="B14" s="52" t="s">
        <v>56</v>
      </c>
      <c r="C14" s="48"/>
      <c r="D14" s="48"/>
      <c r="E14" s="48"/>
      <c r="F14" s="48"/>
      <c r="G14" s="48"/>
      <c r="H14" s="48"/>
      <c r="I14" s="53"/>
    </row>
    <row r="15" spans="2:9" ht="30" customHeight="1" x14ac:dyDescent="0.25">
      <c r="B15" s="6" t="s">
        <v>57</v>
      </c>
      <c r="C15" s="6" t="s">
        <v>58</v>
      </c>
      <c r="D15" s="6" t="s">
        <v>59</v>
      </c>
      <c r="E15" s="6" t="s">
        <v>60</v>
      </c>
      <c r="F15" s="55" t="s">
        <v>41</v>
      </c>
      <c r="G15" s="48"/>
      <c r="H15" s="48"/>
      <c r="I15" s="48"/>
    </row>
    <row r="16" spans="2:9" x14ac:dyDescent="0.25">
      <c r="B16" s="8" t="s">
        <v>43</v>
      </c>
      <c r="C16" s="14">
        <v>0.02</v>
      </c>
      <c r="D16" s="14">
        <v>0.03</v>
      </c>
      <c r="E16" s="14">
        <v>0.04</v>
      </c>
      <c r="F16" s="54" t="s">
        <v>61</v>
      </c>
      <c r="G16" s="48"/>
      <c r="H16" s="48"/>
      <c r="I16" s="48"/>
    </row>
    <row r="17" spans="2:9" x14ac:dyDescent="0.25">
      <c r="B17" s="8" t="s">
        <v>47</v>
      </c>
      <c r="C17" s="14">
        <v>0.05</v>
      </c>
      <c r="D17" s="14">
        <v>7.0000000000000007E-2</v>
      </c>
      <c r="E17" s="14">
        <v>0.09</v>
      </c>
      <c r="F17" s="54" t="s">
        <v>62</v>
      </c>
      <c r="G17" s="48"/>
      <c r="H17" s="48"/>
      <c r="I17" s="48"/>
    </row>
    <row r="18" spans="2:9" x14ac:dyDescent="0.25">
      <c r="B18" s="8" t="s">
        <v>50</v>
      </c>
      <c r="C18" s="14">
        <v>0.15</v>
      </c>
      <c r="D18" s="14">
        <v>0.2</v>
      </c>
      <c r="E18" s="14">
        <v>0.25</v>
      </c>
      <c r="F18" s="54" t="s">
        <v>63</v>
      </c>
      <c r="G18" s="48"/>
      <c r="H18" s="48"/>
      <c r="I18" s="48"/>
    </row>
    <row r="19" spans="2:9" x14ac:dyDescent="0.25">
      <c r="B19" s="8" t="s">
        <v>53</v>
      </c>
      <c r="C19" s="14">
        <v>0.35</v>
      </c>
      <c r="D19" s="14">
        <v>0.45</v>
      </c>
      <c r="E19" s="14">
        <v>0.55000000000000004</v>
      </c>
      <c r="F19" s="54" t="s">
        <v>64</v>
      </c>
      <c r="G19" s="48"/>
      <c r="H19" s="48"/>
      <c r="I19" s="48"/>
    </row>
    <row r="21" spans="2:9" x14ac:dyDescent="0.25">
      <c r="B21" s="52" t="s">
        <v>65</v>
      </c>
      <c r="C21" s="48"/>
      <c r="D21" s="48"/>
      <c r="E21" s="48"/>
      <c r="F21" s="48"/>
      <c r="G21" s="48"/>
      <c r="H21" s="48"/>
      <c r="I21" s="53"/>
    </row>
    <row r="22" spans="2:9" ht="30" customHeight="1" x14ac:dyDescent="0.25">
      <c r="B22" s="6" t="s">
        <v>66</v>
      </c>
      <c r="C22" s="6" t="s">
        <v>67</v>
      </c>
      <c r="D22" s="6" t="s">
        <v>68</v>
      </c>
      <c r="E22" s="55" t="s">
        <v>69</v>
      </c>
      <c r="F22" s="48"/>
      <c r="G22" s="48"/>
      <c r="H22" s="48"/>
      <c r="I22" s="48"/>
    </row>
    <row r="23" spans="2:9" x14ac:dyDescent="0.25">
      <c r="B23" s="15" t="s">
        <v>70</v>
      </c>
      <c r="C23" s="9">
        <v>0.25</v>
      </c>
      <c r="D23" s="16">
        <v>0.8</v>
      </c>
      <c r="E23" s="17">
        <f>C23*D23</f>
        <v>0.2</v>
      </c>
      <c r="F23" s="54" t="s">
        <v>71</v>
      </c>
      <c r="G23" s="48"/>
      <c r="H23" s="48"/>
      <c r="I23" s="48"/>
    </row>
    <row r="24" spans="2:9" x14ac:dyDescent="0.25">
      <c r="B24" s="15" t="s">
        <v>72</v>
      </c>
      <c r="C24" s="9">
        <v>0.5</v>
      </c>
      <c r="D24" s="16">
        <v>1</v>
      </c>
      <c r="E24" s="17">
        <f>C24*D24</f>
        <v>0.5</v>
      </c>
      <c r="F24" s="54" t="s">
        <v>73</v>
      </c>
      <c r="G24" s="48"/>
      <c r="H24" s="48"/>
      <c r="I24" s="48"/>
    </row>
    <row r="25" spans="2:9" x14ac:dyDescent="0.25">
      <c r="B25" s="15" t="s">
        <v>74</v>
      </c>
      <c r="C25" s="9">
        <v>0.25</v>
      </c>
      <c r="D25" s="16">
        <v>1.35</v>
      </c>
      <c r="E25" s="17">
        <f>C25*D25</f>
        <v>0.33750000000000002</v>
      </c>
      <c r="F25" s="54" t="s">
        <v>75</v>
      </c>
      <c r="G25" s="48"/>
      <c r="H25" s="48"/>
      <c r="I25" s="48"/>
    </row>
    <row r="26" spans="2:9" x14ac:dyDescent="0.25">
      <c r="B26" s="11" t="s">
        <v>76</v>
      </c>
      <c r="C26" s="18">
        <f>SUM(C23:C25)</f>
        <v>1</v>
      </c>
      <c r="D26" s="19" t="str">
        <f>IF(ABS(C26-1)&lt;0.0001,"OK","CEK")</f>
        <v>OK</v>
      </c>
      <c r="E26" s="57"/>
      <c r="F26" s="48"/>
      <c r="G26" s="48"/>
      <c r="H26" s="48"/>
      <c r="I26" s="48"/>
    </row>
    <row r="27" spans="2:9" ht="30" x14ac:dyDescent="0.25">
      <c r="B27" s="11" t="s">
        <v>77</v>
      </c>
      <c r="C27" s="20">
        <f>SUMPRODUCT(C23:C25,D23:D25)</f>
        <v>1.0375000000000001</v>
      </c>
      <c r="D27" s="21" t="s">
        <v>78</v>
      </c>
      <c r="E27" s="56" t="s">
        <v>79</v>
      </c>
      <c r="F27" s="48"/>
      <c r="G27" s="48"/>
      <c r="H27" s="48"/>
      <c r="I27" s="48"/>
    </row>
    <row r="29" spans="2:9" x14ac:dyDescent="0.25">
      <c r="B29" s="52" t="s">
        <v>80</v>
      </c>
      <c r="C29" s="48"/>
      <c r="D29" s="48"/>
      <c r="E29" s="48"/>
      <c r="F29" s="48"/>
      <c r="G29" s="48"/>
      <c r="H29" s="48"/>
      <c r="I29" s="53"/>
    </row>
    <row r="30" spans="2:9" x14ac:dyDescent="0.25">
      <c r="B30" s="6" t="s">
        <v>81</v>
      </c>
      <c r="C30" s="6" t="s">
        <v>82</v>
      </c>
      <c r="D30" s="55" t="s">
        <v>41</v>
      </c>
      <c r="E30" s="48"/>
      <c r="F30" s="48"/>
      <c r="G30" s="48"/>
      <c r="H30" s="48"/>
      <c r="I30" s="48"/>
    </row>
    <row r="31" spans="2:9" ht="30" x14ac:dyDescent="0.25">
      <c r="B31" s="15" t="s">
        <v>83</v>
      </c>
      <c r="C31" s="8">
        <v>30</v>
      </c>
      <c r="D31" s="54" t="s">
        <v>84</v>
      </c>
      <c r="E31" s="48"/>
      <c r="F31" s="48"/>
      <c r="G31" s="48"/>
      <c r="H31" s="48"/>
      <c r="I31" s="48"/>
    </row>
    <row r="32" spans="2:9" ht="30" x14ac:dyDescent="0.25">
      <c r="B32" s="15" t="s">
        <v>85</v>
      </c>
      <c r="C32" s="8">
        <v>90</v>
      </c>
      <c r="D32" s="54" t="s">
        <v>86</v>
      </c>
      <c r="E32" s="48"/>
      <c r="F32" s="48"/>
      <c r="G32" s="48"/>
      <c r="H32" s="48"/>
      <c r="I32" s="48"/>
    </row>
  </sheetData>
  <mergeCells count="20">
    <mergeCell ref="D31:I31"/>
    <mergeCell ref="B5:I5"/>
    <mergeCell ref="E22:I22"/>
    <mergeCell ref="F23:I23"/>
    <mergeCell ref="D32:I32"/>
    <mergeCell ref="F25:I25"/>
    <mergeCell ref="D30:I30"/>
    <mergeCell ref="B29:I29"/>
    <mergeCell ref="F24:I24"/>
    <mergeCell ref="E27:I27"/>
    <mergeCell ref="E26:I26"/>
    <mergeCell ref="B3:I3"/>
    <mergeCell ref="B21:I21"/>
    <mergeCell ref="B2:I2"/>
    <mergeCell ref="B14:I14"/>
    <mergeCell ref="F16:I16"/>
    <mergeCell ref="F19:I19"/>
    <mergeCell ref="F15:I15"/>
    <mergeCell ref="F18:I18"/>
    <mergeCell ref="F17:I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5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4" customWidth="1"/>
    <col min="3" max="3" width="11" customWidth="1"/>
    <col min="4" max="4" width="9" customWidth="1"/>
    <col min="5" max="5" width="15" customWidth="1"/>
    <col min="6" max="6" width="17" customWidth="1"/>
    <col min="7" max="7" width="11" customWidth="1"/>
    <col min="8" max="8" width="42" customWidth="1"/>
  </cols>
  <sheetData>
    <row r="2" spans="2:9" ht="26.1" customHeight="1" x14ac:dyDescent="0.25">
      <c r="B2" s="50" t="s">
        <v>87</v>
      </c>
      <c r="C2" s="48"/>
      <c r="D2" s="48"/>
      <c r="E2" s="48"/>
      <c r="F2" s="48"/>
      <c r="G2" s="48"/>
      <c r="H2" s="48"/>
    </row>
    <row r="3" spans="2:9" x14ac:dyDescent="0.25">
      <c r="B3" s="51" t="s">
        <v>88</v>
      </c>
      <c r="C3" s="48"/>
      <c r="D3" s="48"/>
      <c r="E3" s="48"/>
      <c r="F3" s="48"/>
      <c r="G3" s="48"/>
      <c r="H3" s="48"/>
    </row>
    <row r="5" spans="2:9" ht="33.950000000000003" customHeight="1" x14ac:dyDescent="0.25">
      <c r="B5" s="6" t="s">
        <v>34</v>
      </c>
      <c r="C5" s="6" t="s">
        <v>89</v>
      </c>
      <c r="D5" s="6" t="s">
        <v>90</v>
      </c>
      <c r="E5" s="6" t="s">
        <v>57</v>
      </c>
      <c r="F5" s="6" t="s">
        <v>91</v>
      </c>
      <c r="G5" s="6" t="s">
        <v>92</v>
      </c>
      <c r="H5" s="6" t="s">
        <v>93</v>
      </c>
      <c r="I5" s="6" t="s">
        <v>94</v>
      </c>
    </row>
    <row r="6" spans="2:9" x14ac:dyDescent="0.25">
      <c r="B6" s="3" t="str">
        <f>'1_INPUT'!B7</f>
        <v>CV Kopi Senja</v>
      </c>
      <c r="C6" s="22">
        <f>'1_INPUT'!C7</f>
        <v>100</v>
      </c>
      <c r="D6" s="23">
        <f>'1_INPUT'!D7</f>
        <v>0</v>
      </c>
      <c r="E6" s="23" t="str">
        <f>'1_INPUT'!E7</f>
        <v>B</v>
      </c>
      <c r="F6" s="23">
        <f>IF('1_INPUT'!D7&lt;='1_INPUT'!C31,1,IF('1_INPUT'!D7&lt;='1_INPUT'!C32,2,3))</f>
        <v>1</v>
      </c>
      <c r="G6" s="23" t="str">
        <f>IF(F6=1,"TIDAK",IF(F6=2,"YA","N/A"))</f>
        <v>TIDAK</v>
      </c>
      <c r="H6" s="24" t="str">
        <f>IF(F6=1,"STAGE 1",IF(F6=2,"STAGE 2","STAGE 3"))</f>
        <v>STAGE 1</v>
      </c>
    </row>
    <row r="7" spans="2:9" x14ac:dyDescent="0.25">
      <c r="B7" s="3" t="str">
        <f>'1_INPUT'!B8</f>
        <v>UD Berkah Jaya</v>
      </c>
      <c r="C7" s="22">
        <f>'1_INPUT'!C8</f>
        <v>150</v>
      </c>
      <c r="D7" s="23">
        <f>'1_INPUT'!D8</f>
        <v>0</v>
      </c>
      <c r="E7" s="23" t="str">
        <f>'1_INPUT'!E8</f>
        <v>B</v>
      </c>
      <c r="F7" s="23">
        <f>IF('1_INPUT'!D8&lt;='1_INPUT'!C31,1,IF('1_INPUT'!D8&lt;='1_INPUT'!C32,2,3))</f>
        <v>1</v>
      </c>
      <c r="G7" s="23" t="str">
        <f>IF(F7=1,"TIDAK",IF(F7=2,"YA","N/A"))</f>
        <v>TIDAK</v>
      </c>
      <c r="H7" s="24" t="str">
        <f>IF(F7=1,"STAGE 1",IF(F7=2,"STAGE 2","STAGE 3"))</f>
        <v>STAGE 1</v>
      </c>
    </row>
    <row r="8" spans="2:9" x14ac:dyDescent="0.25">
      <c r="B8" s="3" t="str">
        <f>'1_INPUT'!B9</f>
        <v>Toko Maju Bersama</v>
      </c>
      <c r="C8" s="22">
        <f>'1_INPUT'!C9</f>
        <v>200</v>
      </c>
      <c r="D8" s="23">
        <f>'1_INPUT'!D9</f>
        <v>45</v>
      </c>
      <c r="E8" s="23" t="str">
        <f>'1_INPUT'!E9</f>
        <v>C</v>
      </c>
      <c r="F8" s="23">
        <f>IF('1_INPUT'!D9&lt;='1_INPUT'!C31,1,IF('1_INPUT'!D9&lt;='1_INPUT'!C32,2,3))</f>
        <v>2</v>
      </c>
      <c r="G8" s="23" t="str">
        <f>IF(F8=1,"TIDAK",IF(F8=2,"YA","N/A"))</f>
        <v>YA</v>
      </c>
      <c r="H8" s="24" t="str">
        <f>IF(F8=1,"STAGE 1",IF(F8=2,"STAGE 2","STAGE 3"))</f>
        <v>STAGE 2</v>
      </c>
    </row>
    <row r="9" spans="2:9" x14ac:dyDescent="0.25">
      <c r="B9" s="3" t="str">
        <f>'1_INPUT'!B10</f>
        <v>CV Sumber Rejeki</v>
      </c>
      <c r="C9" s="22">
        <f>'1_INPUT'!C10</f>
        <v>80</v>
      </c>
      <c r="D9" s="23">
        <f>'1_INPUT'!D10</f>
        <v>120</v>
      </c>
      <c r="E9" s="23" t="str">
        <f>'1_INPUT'!E10</f>
        <v>D</v>
      </c>
      <c r="F9" s="23">
        <f>IF('1_INPUT'!D10&lt;='1_INPUT'!C31,1,IF('1_INPUT'!D10&lt;='1_INPUT'!C32,2,3))</f>
        <v>3</v>
      </c>
      <c r="G9" s="23" t="str">
        <f>IF(F9=1,"TIDAK",IF(F9=2,"YA","N/A"))</f>
        <v>N/A</v>
      </c>
      <c r="H9" s="24" t="str">
        <f>IF(F9=1,"STAGE 1",IF(F9=2,"STAGE 2","STAGE 3"))</f>
        <v>STAGE 3</v>
      </c>
    </row>
    <row r="10" spans="2:9" x14ac:dyDescent="0.25">
      <c r="B10" s="3" t="str">
        <f>'1_INPUT'!B11</f>
        <v>PT Karya Mandiri</v>
      </c>
      <c r="C10" s="22">
        <f>'1_INPUT'!C11</f>
        <v>50</v>
      </c>
      <c r="D10" s="23">
        <f>'1_INPUT'!D11</f>
        <v>240</v>
      </c>
      <c r="E10" s="23" t="str">
        <f>'1_INPUT'!E11</f>
        <v>E</v>
      </c>
      <c r="F10" s="23">
        <f>IF('1_INPUT'!D11&lt;='1_INPUT'!C31,1,IF('1_INPUT'!D11&lt;='1_INPUT'!C32,2,3))</f>
        <v>3</v>
      </c>
      <c r="G10" s="23" t="str">
        <f>IF(F10=1,"TIDAK",IF(F10=2,"YA","N/A"))</f>
        <v>N/A</v>
      </c>
      <c r="H10" s="24" t="str">
        <f>IF(F10=1,"STAGE 1",IF(F10=2,"STAGE 2","STAGE 3"))</f>
        <v>STAGE 3</v>
      </c>
    </row>
    <row r="12" spans="2:9" x14ac:dyDescent="0.25">
      <c r="B12" s="59" t="s">
        <v>95</v>
      </c>
      <c r="C12" s="48"/>
      <c r="D12" s="48"/>
      <c r="E12" s="48"/>
      <c r="F12" s="48"/>
      <c r="G12" s="48"/>
      <c r="H12" s="60"/>
    </row>
    <row r="13" spans="2:9" ht="30" x14ac:dyDescent="0.25">
      <c r="B13" s="25" t="s">
        <v>96</v>
      </c>
      <c r="C13" s="5">
        <f>COUNTIF(H6:H10,"STAGE 1")</f>
        <v>2</v>
      </c>
      <c r="D13" s="61" t="s">
        <v>97</v>
      </c>
      <c r="E13" s="48"/>
      <c r="F13" s="48"/>
      <c r="G13" s="48"/>
      <c r="H13" s="48"/>
    </row>
    <row r="14" spans="2:9" ht="30" x14ac:dyDescent="0.25">
      <c r="B14" s="26" t="s">
        <v>98</v>
      </c>
      <c r="C14" s="27">
        <f>COUNTIF(H6:H10,"STAGE 2")</f>
        <v>1</v>
      </c>
      <c r="D14" s="62" t="s">
        <v>99</v>
      </c>
      <c r="E14" s="48"/>
      <c r="F14" s="48"/>
      <c r="G14" s="48"/>
      <c r="H14" s="48"/>
    </row>
    <row r="15" spans="2:9" ht="30" x14ac:dyDescent="0.25">
      <c r="B15" s="28" t="s">
        <v>100</v>
      </c>
      <c r="C15" s="29">
        <f>COUNTIF(H6:H10,"STAGE 3")</f>
        <v>2</v>
      </c>
      <c r="D15" s="58" t="s">
        <v>101</v>
      </c>
      <c r="E15" s="48"/>
      <c r="F15" s="48"/>
      <c r="G15" s="48"/>
      <c r="H15" s="48"/>
    </row>
  </sheetData>
  <mergeCells count="6">
    <mergeCell ref="D15:H15"/>
    <mergeCell ref="B12:H12"/>
    <mergeCell ref="D13:H13"/>
    <mergeCell ref="B2:H2"/>
    <mergeCell ref="D14:H14"/>
    <mergeCell ref="B3:H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5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4" customWidth="1"/>
    <col min="3" max="3" width="13" customWidth="1"/>
    <col min="4" max="4" width="12" customWidth="1"/>
    <col min="5" max="5" width="14" customWidth="1"/>
    <col min="6" max="6" width="13" customWidth="1"/>
    <col min="7" max="7" width="14" customWidth="1"/>
    <col min="8" max="8" width="15" customWidth="1"/>
    <col min="9" max="9" width="16" customWidth="1"/>
  </cols>
  <sheetData>
    <row r="2" spans="2:9" ht="26.1" customHeight="1" x14ac:dyDescent="0.25">
      <c r="B2" s="50" t="s">
        <v>102</v>
      </c>
      <c r="C2" s="48"/>
      <c r="D2" s="48"/>
      <c r="E2" s="48"/>
      <c r="F2" s="48"/>
      <c r="G2" s="48"/>
      <c r="H2" s="48"/>
    </row>
    <row r="3" spans="2:9" x14ac:dyDescent="0.25">
      <c r="B3" s="68" t="s">
        <v>103</v>
      </c>
      <c r="C3" s="48"/>
      <c r="D3" s="48"/>
      <c r="E3" s="48"/>
      <c r="F3" s="48"/>
      <c r="G3" s="48"/>
      <c r="H3" s="48"/>
    </row>
    <row r="5" spans="2:9" ht="33.950000000000003" customHeight="1" x14ac:dyDescent="0.25">
      <c r="B5" s="6" t="s">
        <v>34</v>
      </c>
      <c r="C5" s="6" t="s">
        <v>89</v>
      </c>
      <c r="D5" s="6" t="s">
        <v>57</v>
      </c>
      <c r="E5" s="6" t="s">
        <v>104</v>
      </c>
      <c r="F5" s="6" t="s">
        <v>105</v>
      </c>
      <c r="G5" s="6" t="s">
        <v>106</v>
      </c>
      <c r="H5" s="6" t="s">
        <v>107</v>
      </c>
      <c r="I5" s="6" t="s">
        <v>108</v>
      </c>
    </row>
    <row r="6" spans="2:9" x14ac:dyDescent="0.25">
      <c r="B6" s="25" t="str">
        <f>'1_INPUT'!B7</f>
        <v>CV Kopi Senja</v>
      </c>
      <c r="C6" s="22">
        <f>'1_INPUT'!C7</f>
        <v>100</v>
      </c>
      <c r="D6" s="23" t="str">
        <f>'1_INPUT'!E7</f>
        <v>B</v>
      </c>
      <c r="E6" s="30">
        <f>IF('1_INPUT'!E7="B",'1_INPUT'!C16,IF('1_INPUT'!E7="C",'1_INPUT'!C17,IF('1_INPUT'!E7="D",'1_INPUT'!C18,'1_INPUT'!C19)))</f>
        <v>0.02</v>
      </c>
      <c r="F6" s="30">
        <f>E6*'1_INPUT'!C27</f>
        <v>2.0750000000000001E-2</v>
      </c>
      <c r="G6" s="31">
        <f>'1_INPUT'!F7</f>
        <v>0.5</v>
      </c>
      <c r="H6" s="31">
        <f>1-G6</f>
        <v>0.5</v>
      </c>
      <c r="I6" s="12">
        <f>IF('2_ALOKASI_STAGE'!H6="STAGE 1",C6*F6*H6,0)</f>
        <v>1.0375000000000001</v>
      </c>
    </row>
    <row r="7" spans="2:9" x14ac:dyDescent="0.25">
      <c r="B7" s="25" t="str">
        <f>'1_INPUT'!B8</f>
        <v>UD Berkah Jaya</v>
      </c>
      <c r="C7" s="22">
        <f>'1_INPUT'!C8</f>
        <v>150</v>
      </c>
      <c r="D7" s="23" t="str">
        <f>'1_INPUT'!E8</f>
        <v>B</v>
      </c>
      <c r="E7" s="30">
        <f>IF('1_INPUT'!E8="B",'1_INPUT'!C16,IF('1_INPUT'!E8="C",'1_INPUT'!C17,IF('1_INPUT'!E8="D",'1_INPUT'!C18,'1_INPUT'!C19)))</f>
        <v>0.02</v>
      </c>
      <c r="F7" s="30">
        <f>E7*'1_INPUT'!C27</f>
        <v>2.0750000000000001E-2</v>
      </c>
      <c r="G7" s="31">
        <f>'1_INPUT'!F8</f>
        <v>0.4</v>
      </c>
      <c r="H7" s="31">
        <f>1-G7</f>
        <v>0.6</v>
      </c>
      <c r="I7" s="32">
        <f>IF('2_ALOKASI_STAGE'!H7="STAGE 1",C7*F7*H7,0)</f>
        <v>1.8675000000000002</v>
      </c>
    </row>
    <row r="8" spans="2:9" x14ac:dyDescent="0.25">
      <c r="B8" s="3" t="str">
        <f>'1_INPUT'!B9</f>
        <v>Toko Maju Bersama</v>
      </c>
      <c r="C8" s="22">
        <f>'1_INPUT'!C9</f>
        <v>200</v>
      </c>
      <c r="D8" s="23" t="str">
        <f>'1_INPUT'!E9</f>
        <v>C</v>
      </c>
      <c r="E8" s="30">
        <f>IF('1_INPUT'!E9="B",'1_INPUT'!C16,IF('1_INPUT'!E9="C",'1_INPUT'!C17,IF('1_INPUT'!E9="D",'1_INPUT'!C18,'1_INPUT'!C19)))</f>
        <v>0.05</v>
      </c>
      <c r="F8" s="30">
        <f>E8*'1_INPUT'!C27</f>
        <v>5.1875000000000004E-2</v>
      </c>
      <c r="G8" s="31">
        <f>'1_INPUT'!F9</f>
        <v>0.3</v>
      </c>
      <c r="H8" s="31">
        <f>1-G8</f>
        <v>0.7</v>
      </c>
      <c r="I8" s="32">
        <f>IF('2_ALOKASI_STAGE'!H8="STAGE 1",C8*F8*H8,0)</f>
        <v>0</v>
      </c>
    </row>
    <row r="9" spans="2:9" x14ac:dyDescent="0.25">
      <c r="B9" s="3" t="str">
        <f>'1_INPUT'!B10</f>
        <v>CV Sumber Rejeki</v>
      </c>
      <c r="C9" s="22">
        <f>'1_INPUT'!C10</f>
        <v>80</v>
      </c>
      <c r="D9" s="23" t="str">
        <f>'1_INPUT'!E10</f>
        <v>D</v>
      </c>
      <c r="E9" s="30">
        <f>IF('1_INPUT'!E10="B",'1_INPUT'!C16,IF('1_INPUT'!E10="C",'1_INPUT'!C17,IF('1_INPUT'!E10="D",'1_INPUT'!C18,'1_INPUT'!C19)))</f>
        <v>0.15</v>
      </c>
      <c r="F9" s="30">
        <f>E9*'1_INPUT'!C27</f>
        <v>0.15562500000000001</v>
      </c>
      <c r="G9" s="31">
        <f>'1_INPUT'!F10</f>
        <v>0.25</v>
      </c>
      <c r="H9" s="31">
        <f>1-G9</f>
        <v>0.75</v>
      </c>
      <c r="I9" s="32">
        <f>IF('2_ALOKASI_STAGE'!H9="STAGE 1",C9*F9*H9,0)</f>
        <v>0</v>
      </c>
    </row>
    <row r="10" spans="2:9" x14ac:dyDescent="0.25">
      <c r="B10" s="3" t="str">
        <f>'1_INPUT'!B11</f>
        <v>PT Karya Mandiri</v>
      </c>
      <c r="C10" s="22">
        <f>'1_INPUT'!C11</f>
        <v>50</v>
      </c>
      <c r="D10" s="23" t="str">
        <f>'1_INPUT'!E11</f>
        <v>E</v>
      </c>
      <c r="E10" s="30">
        <f>IF('1_INPUT'!E11="B",'1_INPUT'!C16,IF('1_INPUT'!E11="C",'1_INPUT'!C17,IF('1_INPUT'!E11="D",'1_INPUT'!C18,'1_INPUT'!C19)))</f>
        <v>0.35</v>
      </c>
      <c r="F10" s="30">
        <f>E10*'1_INPUT'!C27</f>
        <v>0.36312500000000003</v>
      </c>
      <c r="G10" s="31">
        <f>'1_INPUT'!F11</f>
        <v>0.2</v>
      </c>
      <c r="H10" s="31">
        <f>1-G10</f>
        <v>0.8</v>
      </c>
      <c r="I10" s="32">
        <f>IF('2_ALOKASI_STAGE'!H10="STAGE 1",C10*F10*H10,0)</f>
        <v>0</v>
      </c>
    </row>
    <row r="11" spans="2:9" x14ac:dyDescent="0.25">
      <c r="B11" s="66" t="s">
        <v>109</v>
      </c>
      <c r="C11" s="67"/>
      <c r="D11" s="67"/>
      <c r="E11" s="67"/>
      <c r="F11" s="67"/>
      <c r="G11" s="67"/>
      <c r="H11" s="67"/>
      <c r="I11" s="12">
        <f>SUM(I6:I10)</f>
        <v>2.9050000000000002</v>
      </c>
    </row>
    <row r="13" spans="2:9" x14ac:dyDescent="0.25">
      <c r="B13" s="59" t="s">
        <v>110</v>
      </c>
      <c r="C13" s="48"/>
      <c r="D13" s="48"/>
      <c r="E13" s="48"/>
      <c r="F13" s="48"/>
      <c r="G13" s="48"/>
      <c r="H13" s="48"/>
      <c r="I13" s="60"/>
    </row>
    <row r="14" spans="2:9" x14ac:dyDescent="0.25">
      <c r="B14" s="63" t="s">
        <v>111</v>
      </c>
      <c r="C14" s="64"/>
      <c r="D14" s="64"/>
      <c r="E14" s="64"/>
      <c r="F14" s="64"/>
      <c r="G14" s="64"/>
      <c r="H14" s="64"/>
      <c r="I14" s="65"/>
    </row>
    <row r="15" spans="2:9" x14ac:dyDescent="0.25">
      <c r="B15" s="63" t="s">
        <v>112</v>
      </c>
      <c r="C15" s="64"/>
      <c r="D15" s="64"/>
      <c r="E15" s="64"/>
      <c r="F15" s="64"/>
      <c r="G15" s="64"/>
      <c r="H15" s="64"/>
      <c r="I15" s="65"/>
    </row>
  </sheetData>
  <mergeCells count="6">
    <mergeCell ref="B13:I13"/>
    <mergeCell ref="B15:I15"/>
    <mergeCell ref="B2:H2"/>
    <mergeCell ref="B14:I14"/>
    <mergeCell ref="B11:H11"/>
    <mergeCell ref="B3:H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10" customWidth="1"/>
    <col min="3" max="4" width="14" customWidth="1"/>
    <col min="5" max="5" width="10" customWidth="1"/>
    <col min="6" max="6" width="14" customWidth="1"/>
    <col min="7" max="7" width="12" customWidth="1"/>
    <col min="8" max="8" width="16" customWidth="1"/>
    <col min="9" max="9" width="14" customWidth="1"/>
    <col min="10" max="10" width="3" customWidth="1"/>
    <col min="11" max="11" width="30" customWidth="1"/>
  </cols>
  <sheetData>
    <row r="2" spans="2:11" ht="26.1" customHeight="1" x14ac:dyDescent="0.25">
      <c r="B2" s="50" t="s">
        <v>113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x14ac:dyDescent="0.25">
      <c r="B3" s="69" t="s">
        <v>114</v>
      </c>
      <c r="C3" s="48"/>
      <c r="D3" s="48"/>
      <c r="E3" s="48"/>
      <c r="F3" s="48"/>
      <c r="G3" s="48"/>
      <c r="H3" s="48"/>
      <c r="I3" s="48"/>
      <c r="J3" s="48"/>
      <c r="K3" s="48"/>
    </row>
    <row r="5" spans="2:11" x14ac:dyDescent="0.25">
      <c r="B5" s="70" t="s">
        <v>115</v>
      </c>
      <c r="C5" s="71"/>
      <c r="D5" s="71"/>
      <c r="E5" s="71"/>
      <c r="F5" s="71"/>
      <c r="G5" s="71"/>
      <c r="H5" s="71"/>
      <c r="I5" s="71"/>
      <c r="J5" s="48"/>
      <c r="K5" s="71"/>
    </row>
    <row r="7" spans="2:11" ht="33.950000000000003" customHeight="1" x14ac:dyDescent="0.25">
      <c r="B7" s="6" t="s">
        <v>116</v>
      </c>
      <c r="C7" s="6" t="s">
        <v>117</v>
      </c>
      <c r="D7" s="6" t="s">
        <v>118</v>
      </c>
      <c r="E7" s="6" t="s">
        <v>107</v>
      </c>
      <c r="F7" s="6" t="s">
        <v>89</v>
      </c>
      <c r="G7" s="6" t="s">
        <v>119</v>
      </c>
      <c r="H7" s="6" t="s">
        <v>120</v>
      </c>
      <c r="I7" s="6" t="s">
        <v>121</v>
      </c>
    </row>
    <row r="8" spans="2:11" x14ac:dyDescent="0.25">
      <c r="B8" s="23" t="s">
        <v>122</v>
      </c>
      <c r="C8" s="30">
        <f>IF('1_INPUT'!E9="B",'1_INPUT'!C16,IF('1_INPUT'!E9="C",'1_INPUT'!C17,IF('1_INPUT'!E9="D",'1_INPUT'!C18,'1_INPUT'!C19)))</f>
        <v>0.05</v>
      </c>
      <c r="D8" s="30">
        <f>C8*'1_INPUT'!C27</f>
        <v>5.1875000000000004E-2</v>
      </c>
      <c r="E8" s="31">
        <f>1-'1_INPUT'!F9</f>
        <v>0.7</v>
      </c>
      <c r="F8" s="22">
        <f>'1_INPUT'!C9</f>
        <v>200</v>
      </c>
      <c r="G8" s="33">
        <f>1/(1+'1_INPUT'!H9)^1</f>
        <v>0.88495575221238942</v>
      </c>
      <c r="H8" s="22">
        <f>D8*E8*F8</f>
        <v>7.2624999999999993</v>
      </c>
      <c r="I8" s="32">
        <f>H8*G8</f>
        <v>6.4269911504424773</v>
      </c>
    </row>
    <row r="9" spans="2:11" x14ac:dyDescent="0.25">
      <c r="B9" s="23" t="s">
        <v>123</v>
      </c>
      <c r="C9" s="30">
        <f>IF('1_INPUT'!E9="B",'1_INPUT'!D16,IF('1_INPUT'!E9="C",'1_INPUT'!D17,IF('1_INPUT'!E9="D",'1_INPUT'!D18,'1_INPUT'!D19)))</f>
        <v>7.0000000000000007E-2</v>
      </c>
      <c r="D9" s="30">
        <f>C9*'1_INPUT'!C27</f>
        <v>7.2625000000000009E-2</v>
      </c>
      <c r="E9" s="31">
        <f>1-'1_INPUT'!F9</f>
        <v>0.7</v>
      </c>
      <c r="F9" s="22">
        <f>'1_INPUT'!C9</f>
        <v>200</v>
      </c>
      <c r="G9" s="33">
        <f>1/(1+'1_INPUT'!H9)^2</f>
        <v>0.78314668337379612</v>
      </c>
      <c r="H9" s="22">
        <f>D9*E9*F9</f>
        <v>10.1675</v>
      </c>
      <c r="I9" s="32">
        <f>H9*G9</f>
        <v>7.9626439032030722</v>
      </c>
    </row>
    <row r="10" spans="2:11" x14ac:dyDescent="0.25">
      <c r="B10" s="23" t="s">
        <v>124</v>
      </c>
      <c r="C10" s="30">
        <f>IF('1_INPUT'!E9="B",'1_INPUT'!E16,IF('1_INPUT'!E9="C",'1_INPUT'!E17,IF('1_INPUT'!E9="D",'1_INPUT'!E18,'1_INPUT'!E19)))</f>
        <v>0.09</v>
      </c>
      <c r="D10" s="30">
        <f>C10*'1_INPUT'!C27</f>
        <v>9.3375E-2</v>
      </c>
      <c r="E10" s="31">
        <f>1-'1_INPUT'!F9</f>
        <v>0.7</v>
      </c>
      <c r="F10" s="22">
        <f>'1_INPUT'!C9</f>
        <v>200</v>
      </c>
      <c r="G10" s="33">
        <f>1/(1+'1_INPUT'!H9)^3</f>
        <v>0.69305016227769578</v>
      </c>
      <c r="H10" s="22">
        <f>D10*E10*F10</f>
        <v>13.072499999999998</v>
      </c>
      <c r="I10" s="32">
        <f>H10*G10</f>
        <v>9.0598982463751767</v>
      </c>
    </row>
    <row r="11" spans="2:11" x14ac:dyDescent="0.25">
      <c r="B11" s="66" t="s">
        <v>125</v>
      </c>
      <c r="C11" s="67"/>
      <c r="D11" s="67"/>
      <c r="E11" s="67"/>
      <c r="F11" s="67"/>
      <c r="G11" s="67"/>
      <c r="H11" s="67"/>
      <c r="I11" s="12">
        <f>SUM(I8:I10)</f>
        <v>23.449533300020725</v>
      </c>
    </row>
    <row r="13" spans="2:11" x14ac:dyDescent="0.25">
      <c r="B13" s="59" t="s">
        <v>126</v>
      </c>
      <c r="C13" s="48"/>
      <c r="D13" s="48"/>
      <c r="E13" s="48"/>
      <c r="F13" s="48"/>
      <c r="G13" s="48"/>
      <c r="H13" s="48"/>
      <c r="I13" s="48"/>
      <c r="J13" s="48"/>
      <c r="K13" s="60"/>
    </row>
    <row r="14" spans="2:11" x14ac:dyDescent="0.25">
      <c r="B14" s="63" t="s">
        <v>127</v>
      </c>
      <c r="C14" s="64"/>
      <c r="D14" s="64"/>
      <c r="E14" s="64"/>
      <c r="F14" s="64"/>
      <c r="G14" s="64"/>
      <c r="H14" s="64"/>
      <c r="I14" s="64"/>
      <c r="J14" s="64"/>
      <c r="K14" s="65"/>
    </row>
    <row r="15" spans="2:11" x14ac:dyDescent="0.25">
      <c r="B15" s="63" t="s">
        <v>128</v>
      </c>
      <c r="C15" s="64"/>
      <c r="D15" s="64"/>
      <c r="E15" s="64"/>
      <c r="F15" s="64"/>
      <c r="G15" s="64"/>
      <c r="H15" s="64"/>
      <c r="I15" s="64"/>
      <c r="J15" s="64"/>
      <c r="K15" s="65"/>
    </row>
    <row r="16" spans="2:11" x14ac:dyDescent="0.25">
      <c r="B16" s="63" t="s">
        <v>129</v>
      </c>
      <c r="C16" s="64"/>
      <c r="D16" s="64"/>
      <c r="E16" s="64"/>
      <c r="F16" s="64"/>
      <c r="G16" s="64"/>
      <c r="H16" s="64"/>
      <c r="I16" s="64"/>
      <c r="J16" s="64"/>
      <c r="K16" s="65"/>
    </row>
    <row r="17" spans="2:11" x14ac:dyDescent="0.25">
      <c r="B17" s="63" t="s">
        <v>130</v>
      </c>
      <c r="C17" s="64"/>
      <c r="D17" s="64"/>
      <c r="E17" s="64"/>
      <c r="F17" s="64"/>
      <c r="G17" s="64"/>
      <c r="H17" s="64"/>
      <c r="I17" s="64"/>
      <c r="J17" s="64"/>
      <c r="K17" s="65"/>
    </row>
    <row r="18" spans="2:11" x14ac:dyDescent="0.25">
      <c r="B18" s="63" t="s">
        <v>131</v>
      </c>
      <c r="C18" s="64"/>
      <c r="D18" s="64"/>
      <c r="E18" s="64"/>
      <c r="F18" s="64"/>
      <c r="G18" s="64"/>
      <c r="H18" s="64"/>
      <c r="I18" s="64"/>
      <c r="J18" s="64"/>
      <c r="K18" s="65"/>
    </row>
  </sheetData>
  <mergeCells count="10">
    <mergeCell ref="B17:K17"/>
    <mergeCell ref="B18:K18"/>
    <mergeCell ref="B13:K13"/>
    <mergeCell ref="B16:K16"/>
    <mergeCell ref="B2:K2"/>
    <mergeCell ref="B15:K15"/>
    <mergeCell ref="B11:H11"/>
    <mergeCell ref="B3:K3"/>
    <mergeCell ref="B5:K5"/>
    <mergeCell ref="B14:K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7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4" customWidth="1"/>
    <col min="3" max="3" width="13" customWidth="1"/>
    <col min="4" max="5" width="11" customWidth="1"/>
    <col min="6" max="6" width="12" customWidth="1"/>
    <col min="7" max="7" width="11" customWidth="1"/>
    <col min="8" max="8" width="16" customWidth="1"/>
    <col min="9" max="9" width="40" customWidth="1"/>
  </cols>
  <sheetData>
    <row r="2" spans="2:10" ht="26.1" customHeight="1" x14ac:dyDescent="0.25">
      <c r="B2" s="50" t="s">
        <v>132</v>
      </c>
      <c r="C2" s="48"/>
      <c r="D2" s="48"/>
      <c r="E2" s="48"/>
      <c r="F2" s="48"/>
      <c r="G2" s="48"/>
      <c r="H2" s="48"/>
      <c r="I2" s="48"/>
    </row>
    <row r="3" spans="2:10" x14ac:dyDescent="0.25">
      <c r="B3" s="72" t="s">
        <v>133</v>
      </c>
      <c r="C3" s="48"/>
      <c r="D3" s="48"/>
      <c r="E3" s="48"/>
      <c r="F3" s="48"/>
      <c r="G3" s="48"/>
      <c r="H3" s="48"/>
      <c r="I3" s="48"/>
    </row>
    <row r="5" spans="2:10" ht="33.950000000000003" customHeight="1" x14ac:dyDescent="0.25">
      <c r="B5" s="6" t="s">
        <v>34</v>
      </c>
      <c r="C5" s="6" t="s">
        <v>89</v>
      </c>
      <c r="D5" s="6" t="s">
        <v>90</v>
      </c>
      <c r="E5" s="6" t="s">
        <v>57</v>
      </c>
      <c r="F5" s="6" t="s">
        <v>106</v>
      </c>
      <c r="G5" s="6" t="s">
        <v>107</v>
      </c>
      <c r="H5" s="6" t="s">
        <v>134</v>
      </c>
      <c r="I5" s="6" t="s">
        <v>135</v>
      </c>
      <c r="J5" s="6" t="s">
        <v>41</v>
      </c>
    </row>
    <row r="6" spans="2:10" x14ac:dyDescent="0.25">
      <c r="B6" s="3" t="str">
        <f>'1_INPUT'!B7</f>
        <v>CV Kopi Senja</v>
      </c>
      <c r="C6" s="22">
        <f>'1_INPUT'!C7</f>
        <v>100</v>
      </c>
      <c r="D6" s="23">
        <f>'1_INPUT'!D7</f>
        <v>0</v>
      </c>
      <c r="E6" s="23" t="str">
        <f>'1_INPUT'!E7</f>
        <v>B</v>
      </c>
      <c r="F6" s="31">
        <f>'1_INPUT'!F7</f>
        <v>0.5</v>
      </c>
      <c r="G6" s="31">
        <f>1-F6</f>
        <v>0.5</v>
      </c>
      <c r="H6" s="30">
        <f>IF('2_ALOKASI_STAGE'!H6="STAGE 3",1,0)</f>
        <v>0</v>
      </c>
      <c r="I6" s="32">
        <f>C6*G6*H6</f>
        <v>0</v>
      </c>
    </row>
    <row r="7" spans="2:10" x14ac:dyDescent="0.25">
      <c r="B7" s="3" t="str">
        <f>'1_INPUT'!B8</f>
        <v>UD Berkah Jaya</v>
      </c>
      <c r="C7" s="22">
        <f>'1_INPUT'!C8</f>
        <v>150</v>
      </c>
      <c r="D7" s="23">
        <f>'1_INPUT'!D8</f>
        <v>0</v>
      </c>
      <c r="E7" s="23" t="str">
        <f>'1_INPUT'!E8</f>
        <v>B</v>
      </c>
      <c r="F7" s="31">
        <f>'1_INPUT'!F8</f>
        <v>0.4</v>
      </c>
      <c r="G7" s="31">
        <f>1-F7</f>
        <v>0.6</v>
      </c>
      <c r="H7" s="30">
        <f>IF('2_ALOKASI_STAGE'!H7="STAGE 3",1,0)</f>
        <v>0</v>
      </c>
      <c r="I7" s="32">
        <f>C7*G7*H7</f>
        <v>0</v>
      </c>
    </row>
    <row r="8" spans="2:10" x14ac:dyDescent="0.25">
      <c r="B8" s="3" t="str">
        <f>'1_INPUT'!B9</f>
        <v>Toko Maju Bersama</v>
      </c>
      <c r="C8" s="22">
        <f>'1_INPUT'!C9</f>
        <v>200</v>
      </c>
      <c r="D8" s="23">
        <f>'1_INPUT'!D9</f>
        <v>45</v>
      </c>
      <c r="E8" s="23" t="str">
        <f>'1_INPUT'!E9</f>
        <v>C</v>
      </c>
      <c r="F8" s="31">
        <f>'1_INPUT'!F9</f>
        <v>0.3</v>
      </c>
      <c r="G8" s="31">
        <f>1-F8</f>
        <v>0.7</v>
      </c>
      <c r="H8" s="30">
        <f>IF('2_ALOKASI_STAGE'!H8="STAGE 3",1,0)</f>
        <v>0</v>
      </c>
      <c r="I8" s="32">
        <f>C8*G8*H8</f>
        <v>0</v>
      </c>
    </row>
    <row r="9" spans="2:10" x14ac:dyDescent="0.25">
      <c r="B9" s="28" t="str">
        <f>'1_INPUT'!B10</f>
        <v>CV Sumber Rejeki</v>
      </c>
      <c r="C9" s="34">
        <f>'1_INPUT'!C10</f>
        <v>80</v>
      </c>
      <c r="D9" s="35">
        <f>'1_INPUT'!D10</f>
        <v>120</v>
      </c>
      <c r="E9" s="35" t="str">
        <f>'1_INPUT'!E10</f>
        <v>D</v>
      </c>
      <c r="F9" s="36">
        <f>'1_INPUT'!F10</f>
        <v>0.25</v>
      </c>
      <c r="G9" s="36">
        <f>1-F9</f>
        <v>0.75</v>
      </c>
      <c r="H9" s="37">
        <f>IF('2_ALOKASI_STAGE'!H9="STAGE 3",1,0)</f>
        <v>1</v>
      </c>
      <c r="I9" s="38">
        <f>C9*G9*H9</f>
        <v>60</v>
      </c>
    </row>
    <row r="10" spans="2:10" x14ac:dyDescent="0.25">
      <c r="B10" s="28" t="str">
        <f>'1_INPUT'!B11</f>
        <v>PT Karya Mandiri</v>
      </c>
      <c r="C10" s="34">
        <f>'1_INPUT'!C11</f>
        <v>50</v>
      </c>
      <c r="D10" s="35">
        <f>'1_INPUT'!D11</f>
        <v>240</v>
      </c>
      <c r="E10" s="35" t="str">
        <f>'1_INPUT'!E11</f>
        <v>E</v>
      </c>
      <c r="F10" s="36">
        <f>'1_INPUT'!F11</f>
        <v>0.2</v>
      </c>
      <c r="G10" s="36">
        <f>1-F10</f>
        <v>0.8</v>
      </c>
      <c r="H10" s="37">
        <f>IF('2_ALOKASI_STAGE'!H10="STAGE 3",1,0)</f>
        <v>1</v>
      </c>
      <c r="I10" s="38">
        <f>C10*G10*H10</f>
        <v>40</v>
      </c>
    </row>
    <row r="11" spans="2:10" x14ac:dyDescent="0.25">
      <c r="B11" s="66" t="s">
        <v>136</v>
      </c>
      <c r="C11" s="67"/>
      <c r="D11" s="67"/>
      <c r="E11" s="67"/>
      <c r="F11" s="67"/>
      <c r="G11" s="67"/>
      <c r="H11" s="67"/>
      <c r="I11" s="12">
        <f>SUM(I6:I10)</f>
        <v>100</v>
      </c>
    </row>
    <row r="13" spans="2:10" x14ac:dyDescent="0.25">
      <c r="B13" s="59" t="s">
        <v>137</v>
      </c>
      <c r="C13" s="48"/>
      <c r="D13" s="48"/>
      <c r="E13" s="48"/>
      <c r="F13" s="48"/>
      <c r="G13" s="48"/>
      <c r="H13" s="48"/>
      <c r="I13" s="60"/>
    </row>
    <row r="14" spans="2:10" x14ac:dyDescent="0.25">
      <c r="B14" s="63" t="s">
        <v>138</v>
      </c>
      <c r="C14" s="64"/>
      <c r="D14" s="64"/>
      <c r="E14" s="64"/>
      <c r="F14" s="64"/>
      <c r="G14" s="64"/>
      <c r="H14" s="64"/>
      <c r="I14" s="65"/>
    </row>
    <row r="15" spans="2:10" x14ac:dyDescent="0.25">
      <c r="B15" s="63" t="s">
        <v>139</v>
      </c>
      <c r="C15" s="64"/>
      <c r="D15" s="64"/>
      <c r="E15" s="64"/>
      <c r="F15" s="64"/>
      <c r="G15" s="64"/>
      <c r="H15" s="64"/>
      <c r="I15" s="65"/>
    </row>
    <row r="16" spans="2:10" x14ac:dyDescent="0.25">
      <c r="B16" s="63" t="s">
        <v>140</v>
      </c>
      <c r="C16" s="64"/>
      <c r="D16" s="64"/>
      <c r="E16" s="64"/>
      <c r="F16" s="64"/>
      <c r="G16" s="64"/>
      <c r="H16" s="64"/>
      <c r="I16" s="65"/>
    </row>
    <row r="17" spans="2:9" x14ac:dyDescent="0.25">
      <c r="B17" s="63" t="s">
        <v>141</v>
      </c>
      <c r="C17" s="64"/>
      <c r="D17" s="64"/>
      <c r="E17" s="64"/>
      <c r="F17" s="64"/>
      <c r="G17" s="64"/>
      <c r="H17" s="64"/>
      <c r="I17" s="65"/>
    </row>
  </sheetData>
  <mergeCells count="8">
    <mergeCell ref="B17:I17"/>
    <mergeCell ref="B13:I13"/>
    <mergeCell ref="B15:I15"/>
    <mergeCell ref="B2:I2"/>
    <mergeCell ref="B16:I16"/>
    <mergeCell ref="B3:I3"/>
    <mergeCell ref="B14:I14"/>
    <mergeCell ref="B11:H1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36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30" customWidth="1"/>
  </cols>
  <sheetData>
    <row r="2" spans="2:6" ht="26.1" customHeight="1" x14ac:dyDescent="0.25">
      <c r="B2" s="50" t="s">
        <v>142</v>
      </c>
      <c r="C2" s="48"/>
      <c r="D2" s="48"/>
      <c r="E2" s="48"/>
      <c r="F2" s="48"/>
    </row>
    <row r="3" spans="2:6" x14ac:dyDescent="0.25">
      <c r="B3" s="51" t="s">
        <v>143</v>
      </c>
      <c r="C3" s="48"/>
      <c r="D3" s="48"/>
      <c r="E3" s="48"/>
      <c r="F3" s="48"/>
    </row>
    <row r="5" spans="2:6" x14ac:dyDescent="0.25">
      <c r="B5" s="52" t="s">
        <v>144</v>
      </c>
      <c r="C5" s="48"/>
      <c r="D5" s="48"/>
      <c r="E5" s="48"/>
      <c r="F5" s="53"/>
    </row>
    <row r="6" spans="2:6" x14ac:dyDescent="0.25">
      <c r="B6" s="6" t="s">
        <v>145</v>
      </c>
      <c r="C6" s="6" t="s">
        <v>146</v>
      </c>
      <c r="D6" s="6" t="s">
        <v>147</v>
      </c>
      <c r="E6" s="55" t="s">
        <v>41</v>
      </c>
      <c r="F6" s="48"/>
    </row>
    <row r="7" spans="2:6" x14ac:dyDescent="0.25">
      <c r="B7" s="25" t="s">
        <v>148</v>
      </c>
      <c r="C7" s="39">
        <f>'3_STAGE_1'!I11</f>
        <v>2.9050000000000002</v>
      </c>
      <c r="D7" s="40">
        <f>C7/'1_INPUT'!C12</f>
        <v>5.0086206896551725E-3</v>
      </c>
      <c r="E7" s="61" t="s">
        <v>149</v>
      </c>
      <c r="F7" s="48"/>
    </row>
    <row r="8" spans="2:6" x14ac:dyDescent="0.25">
      <c r="B8" s="26" t="s">
        <v>150</v>
      </c>
      <c r="C8" s="41">
        <f>'4_STAGE_2'!I11</f>
        <v>23.449533300020725</v>
      </c>
      <c r="D8" s="42">
        <f>C8/'1_INPUT'!C12</f>
        <v>4.0430229827621941E-2</v>
      </c>
      <c r="E8" s="62" t="s">
        <v>151</v>
      </c>
      <c r="F8" s="48"/>
    </row>
    <row r="9" spans="2:6" x14ac:dyDescent="0.25">
      <c r="B9" s="28" t="s">
        <v>152</v>
      </c>
      <c r="C9" s="38">
        <f>'5_STAGE_3'!I11</f>
        <v>100</v>
      </c>
      <c r="D9" s="36">
        <f>C9/'1_INPUT'!C12</f>
        <v>0.17241379310344829</v>
      </c>
      <c r="E9" s="58" t="s">
        <v>153</v>
      </c>
      <c r="F9" s="48"/>
    </row>
    <row r="10" spans="2:6" x14ac:dyDescent="0.25">
      <c r="B10" s="11" t="s">
        <v>154</v>
      </c>
      <c r="C10" s="12">
        <f>C7+C8+C9</f>
        <v>126.35453330002073</v>
      </c>
      <c r="D10" s="18">
        <f>C10/'1_INPUT'!C12</f>
        <v>0.2178526436207254</v>
      </c>
      <c r="E10" s="56" t="s">
        <v>155</v>
      </c>
      <c r="F10" s="48"/>
    </row>
    <row r="12" spans="2:6" x14ac:dyDescent="0.25">
      <c r="B12" s="43" t="s">
        <v>156</v>
      </c>
      <c r="C12" s="44">
        <f>C10/'1_INPUT'!C12</f>
        <v>0.2178526436207254</v>
      </c>
      <c r="D12" s="54" t="s">
        <v>157</v>
      </c>
      <c r="E12" s="48"/>
      <c r="F12" s="48"/>
    </row>
    <row r="14" spans="2:6" x14ac:dyDescent="0.25">
      <c r="B14" s="52" t="s">
        <v>158</v>
      </c>
      <c r="C14" s="48"/>
      <c r="D14" s="48"/>
      <c r="E14" s="48"/>
      <c r="F14" s="53"/>
    </row>
    <row r="15" spans="2:6" x14ac:dyDescent="0.25">
      <c r="B15" s="6" t="s">
        <v>159</v>
      </c>
      <c r="C15" s="6" t="s">
        <v>160</v>
      </c>
      <c r="D15" s="6" t="s">
        <v>161</v>
      </c>
      <c r="E15" s="6" t="s">
        <v>162</v>
      </c>
      <c r="F15" s="6" t="s">
        <v>163</v>
      </c>
    </row>
    <row r="16" spans="2:6" ht="30" x14ac:dyDescent="0.25">
      <c r="B16" s="3" t="s">
        <v>164</v>
      </c>
      <c r="C16" s="22">
        <f>'3_STAGE_1'!I11</f>
        <v>2.9050000000000002</v>
      </c>
      <c r="D16" s="22">
        <f>'3_STAGE_1'!I6+'3_STAGE_1'!I7</f>
        <v>2.9050000000000002</v>
      </c>
      <c r="E16" s="22">
        <f t="shared" ref="E16:E22" si="0">C16-D16</f>
        <v>0</v>
      </c>
      <c r="F16" s="45" t="str">
        <f t="shared" ref="F16:F22" si="1">IF(ABS(E16)&lt;0.5,"OK","CEK")</f>
        <v>OK</v>
      </c>
    </row>
    <row r="17" spans="2:6" ht="30" x14ac:dyDescent="0.25">
      <c r="B17" s="3" t="s">
        <v>165</v>
      </c>
      <c r="C17" s="22">
        <f>'5_STAGE_3'!I11</f>
        <v>100</v>
      </c>
      <c r="D17" s="22">
        <f>'5_STAGE_3'!I9+'5_STAGE_3'!I10</f>
        <v>100</v>
      </c>
      <c r="E17" s="22">
        <f t="shared" si="0"/>
        <v>0</v>
      </c>
      <c r="F17" s="45" t="str">
        <f t="shared" si="1"/>
        <v>OK</v>
      </c>
    </row>
    <row r="18" spans="2:6" x14ac:dyDescent="0.25">
      <c r="B18" s="3" t="s">
        <v>166</v>
      </c>
      <c r="C18" s="22">
        <f>C10</f>
        <v>126.35453330002073</v>
      </c>
      <c r="D18" s="22">
        <f>C7+C8+C9</f>
        <v>126.35453330002073</v>
      </c>
      <c r="E18" s="22">
        <f t="shared" si="0"/>
        <v>0</v>
      </c>
      <c r="F18" s="45" t="str">
        <f t="shared" si="1"/>
        <v>OK</v>
      </c>
    </row>
    <row r="19" spans="2:6" ht="30" x14ac:dyDescent="0.25">
      <c r="B19" s="3" t="s">
        <v>167</v>
      </c>
      <c r="C19" s="22">
        <f>'4_STAGE_2'!I11</f>
        <v>23.449533300020725</v>
      </c>
      <c r="D19" s="22">
        <f>'4_STAGE_2'!I8+'4_STAGE_2'!I9+'4_STAGE_2'!I10</f>
        <v>23.449533300020725</v>
      </c>
      <c r="E19" s="22">
        <f t="shared" si="0"/>
        <v>0</v>
      </c>
      <c r="F19" s="45" t="str">
        <f t="shared" si="1"/>
        <v>OK</v>
      </c>
    </row>
    <row r="20" spans="2:6" x14ac:dyDescent="0.25">
      <c r="B20" s="3" t="s">
        <v>168</v>
      </c>
      <c r="C20" s="31">
        <f>'1_INPUT'!C26</f>
        <v>1</v>
      </c>
      <c r="D20" s="31">
        <f>1</f>
        <v>1</v>
      </c>
      <c r="E20" s="31">
        <f t="shared" si="0"/>
        <v>0</v>
      </c>
      <c r="F20" s="45" t="str">
        <f t="shared" si="1"/>
        <v>OK</v>
      </c>
    </row>
    <row r="21" spans="2:6" x14ac:dyDescent="0.25">
      <c r="B21" s="3" t="s">
        <v>169</v>
      </c>
      <c r="C21" s="22">
        <f>'1_INPUT'!C12</f>
        <v>580</v>
      </c>
      <c r="D21" s="22">
        <f>'1_INPUT'!C7+'1_INPUT'!C8+'1_INPUT'!C9+'1_INPUT'!C10+'1_INPUT'!C11</f>
        <v>580</v>
      </c>
      <c r="E21" s="22">
        <f t="shared" si="0"/>
        <v>0</v>
      </c>
      <c r="F21" s="45" t="str">
        <f t="shared" si="1"/>
        <v>OK</v>
      </c>
    </row>
    <row r="22" spans="2:6" ht="30" x14ac:dyDescent="0.25">
      <c r="B22" s="3" t="s">
        <v>170</v>
      </c>
      <c r="C22" s="17">
        <f>'1_INPUT'!C27</f>
        <v>1.0375000000000001</v>
      </c>
      <c r="D22" s="17">
        <f>'1_INPUT'!C23*'1_INPUT'!D23+'1_INPUT'!C24*'1_INPUT'!D24+'1_INPUT'!C25*'1_INPUT'!D25</f>
        <v>1.0375000000000001</v>
      </c>
      <c r="E22" s="17">
        <f t="shared" si="0"/>
        <v>0</v>
      </c>
      <c r="F22" s="45" t="str">
        <f t="shared" si="1"/>
        <v>OK</v>
      </c>
    </row>
    <row r="24" spans="2:6" x14ac:dyDescent="0.25">
      <c r="B24" s="52" t="s">
        <v>171</v>
      </c>
      <c r="C24" s="48"/>
      <c r="D24" s="48"/>
      <c r="E24" s="48"/>
      <c r="F24" s="53"/>
    </row>
    <row r="25" spans="2:6" x14ac:dyDescent="0.25">
      <c r="B25" s="54" t="s">
        <v>172</v>
      </c>
      <c r="C25" s="64"/>
      <c r="D25" s="64"/>
      <c r="E25" s="64"/>
      <c r="F25" s="65"/>
    </row>
    <row r="26" spans="2:6" x14ac:dyDescent="0.25">
      <c r="B26" s="6" t="s">
        <v>173</v>
      </c>
      <c r="C26" s="6" t="s">
        <v>174</v>
      </c>
      <c r="D26" s="6" t="s">
        <v>175</v>
      </c>
      <c r="E26" s="55" t="s">
        <v>176</v>
      </c>
      <c r="F26" s="48"/>
    </row>
    <row r="27" spans="2:6" x14ac:dyDescent="0.25">
      <c r="B27" s="43" t="s">
        <v>177</v>
      </c>
      <c r="C27" s="32">
        <f>C10</f>
        <v>126.35453330002073</v>
      </c>
      <c r="D27" s="46"/>
      <c r="E27" s="54" t="s">
        <v>178</v>
      </c>
      <c r="F27" s="48"/>
    </row>
    <row r="28" spans="2:6" ht="30" x14ac:dyDescent="0.25">
      <c r="B28" s="43" t="s">
        <v>179</v>
      </c>
      <c r="C28" s="46"/>
      <c r="D28" s="32">
        <f>C10</f>
        <v>126.35453330002073</v>
      </c>
      <c r="E28" s="54" t="s">
        <v>180</v>
      </c>
      <c r="F28" s="48"/>
    </row>
    <row r="29" spans="2:6" x14ac:dyDescent="0.25">
      <c r="B29" s="11" t="s">
        <v>181</v>
      </c>
      <c r="C29" s="12">
        <f>C27</f>
        <v>126.35453330002073</v>
      </c>
      <c r="D29" s="12">
        <f>D28</f>
        <v>126.35453330002073</v>
      </c>
      <c r="E29" s="73" t="str">
        <f>IF(ABS(C29-D29)&lt;0.5,"OK — SEIMBANG","CEK")</f>
        <v>OK — SEIMBANG</v>
      </c>
      <c r="F29" s="48"/>
    </row>
    <row r="31" spans="2:6" x14ac:dyDescent="0.25">
      <c r="B31" s="59" t="s">
        <v>182</v>
      </c>
      <c r="C31" s="48"/>
      <c r="D31" s="48"/>
      <c r="E31" s="48"/>
      <c r="F31" s="60"/>
    </row>
    <row r="32" spans="2:6" x14ac:dyDescent="0.25">
      <c r="B32" s="63" t="s">
        <v>183</v>
      </c>
      <c r="C32" s="64"/>
      <c r="D32" s="64"/>
      <c r="E32" s="64"/>
      <c r="F32" s="65"/>
    </row>
    <row r="33" spans="2:6" x14ac:dyDescent="0.25">
      <c r="B33" s="63" t="s">
        <v>184</v>
      </c>
      <c r="C33" s="64"/>
      <c r="D33" s="64"/>
      <c r="E33" s="64"/>
      <c r="F33" s="65"/>
    </row>
    <row r="34" spans="2:6" x14ac:dyDescent="0.25">
      <c r="B34" s="63" t="s">
        <v>185</v>
      </c>
      <c r="C34" s="64"/>
      <c r="D34" s="64"/>
      <c r="E34" s="64"/>
      <c r="F34" s="65"/>
    </row>
    <row r="35" spans="2:6" x14ac:dyDescent="0.25">
      <c r="B35" s="63" t="s">
        <v>186</v>
      </c>
      <c r="C35" s="64"/>
      <c r="D35" s="64"/>
      <c r="E35" s="64"/>
      <c r="F35" s="65"/>
    </row>
    <row r="36" spans="2:6" x14ac:dyDescent="0.25">
      <c r="B36" s="63" t="s">
        <v>187</v>
      </c>
      <c r="C36" s="64"/>
      <c r="D36" s="64"/>
      <c r="E36" s="64"/>
      <c r="F36" s="65"/>
    </row>
  </sheetData>
  <mergeCells count="22">
    <mergeCell ref="B33:F33"/>
    <mergeCell ref="B25:F25"/>
    <mergeCell ref="B36:F36"/>
    <mergeCell ref="B32:F32"/>
    <mergeCell ref="B35:F35"/>
    <mergeCell ref="B34:F34"/>
    <mergeCell ref="E27:F27"/>
    <mergeCell ref="B3:F3"/>
    <mergeCell ref="B31:F31"/>
    <mergeCell ref="E8:F8"/>
    <mergeCell ref="B2:F2"/>
    <mergeCell ref="E10:F10"/>
    <mergeCell ref="E29:F29"/>
    <mergeCell ref="D12:F12"/>
    <mergeCell ref="E28:F28"/>
    <mergeCell ref="B14:F14"/>
    <mergeCell ref="E9:F9"/>
    <mergeCell ref="E6:F6"/>
    <mergeCell ref="B5:F5"/>
    <mergeCell ref="E26:F26"/>
    <mergeCell ref="B24:F24"/>
    <mergeCell ref="E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0_PETUNJUK</vt:lpstr>
      <vt:lpstr>1_INPUT</vt:lpstr>
      <vt:lpstr>2_ALOKASI_STAGE</vt:lpstr>
      <vt:lpstr>3_STAGE_1</vt:lpstr>
      <vt:lpstr>4_STAGE_2</vt:lpstr>
      <vt:lpstr>5_STAGE_3</vt:lpstr>
      <vt:lpstr>6_RINGKASAN_CEK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2026-07-19T08:08:58Z</dcterms:created>
  <dcterms:modified xsi:type="dcterms:W3CDTF">2026-07-19T08:17:41Z</dcterms:modified>
</cp:coreProperties>
</file>