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MIDAS\OneDrive\Claude\Personal\atlas\05-Tech\stdsquare-hugo\static\excel\"/>
    </mc:Choice>
  </mc:AlternateContent>
  <xr:revisionPtr revIDLastSave="0" documentId="11_0EF6710827597D3CD18BC07A7BD607C082550B0E" xr6:coauthVersionLast="47" xr6:coauthVersionMax="47" xr10:uidLastSave="{00000000-0000-0000-0000-000000000000}"/>
  <bookViews>
    <workbookView xWindow="-120" yWindow="-120" windowWidth="27240" windowHeight="16470" xr2:uid="{00000000-000D-0000-FFFF-FFFF00000000}"/>
  </bookViews>
  <sheets>
    <sheet name="PETUNJUK" sheetId="1" r:id="rId1"/>
    <sheet name="PROYEKSI" sheetId="2" r:id="rId2"/>
    <sheet name="TERMINAL_VALUE" sheetId="3" r:id="rId3"/>
    <sheet name="DISKONTO" sheetId="4" r:id="rId4"/>
    <sheet name="EV_BRIDGE" sheetId="5" r:id="rId5"/>
    <sheet name="SENSITIVITAS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6" l="1"/>
  <c r="C10" i="6"/>
  <c r="C14" i="5"/>
  <c r="C9" i="6" s="1"/>
  <c r="H9" i="4"/>
  <c r="C15" i="4" s="1"/>
  <c r="G9" i="4"/>
  <c r="F9" i="4"/>
  <c r="E9" i="4"/>
  <c r="D9" i="4"/>
  <c r="C7" i="4"/>
  <c r="D7" i="4" s="1"/>
  <c r="C18" i="3"/>
  <c r="C14" i="3"/>
  <c r="D21" i="2"/>
  <c r="C18" i="2"/>
  <c r="C17" i="2"/>
  <c r="D16" i="2"/>
  <c r="D17" i="2" s="1"/>
  <c r="H10" i="2"/>
  <c r="G10" i="2"/>
  <c r="F10" i="2"/>
  <c r="E10" i="2"/>
  <c r="D10" i="2"/>
  <c r="D18" i="2" l="1"/>
  <c r="E7" i="4"/>
  <c r="F7" i="4"/>
  <c r="E16" i="2"/>
  <c r="G7" i="4"/>
  <c r="H7" i="4"/>
  <c r="D19" i="2"/>
  <c r="D20" i="2" s="1"/>
  <c r="E21" i="2" l="1"/>
  <c r="E19" i="2"/>
  <c r="E20" i="2" s="1"/>
  <c r="F16" i="2"/>
  <c r="E17" i="2"/>
  <c r="D22" i="2"/>
  <c r="D23" i="2"/>
  <c r="E23" i="2" l="1"/>
  <c r="E18" i="2"/>
  <c r="E22" i="2" s="1"/>
  <c r="D6" i="6"/>
  <c r="D8" i="4"/>
  <c r="D10" i="4" s="1"/>
  <c r="D27" i="2"/>
  <c r="F17" i="2"/>
  <c r="G16" i="2"/>
  <c r="F21" i="2"/>
  <c r="F19" i="2"/>
  <c r="F20" i="2" s="1"/>
  <c r="G17" i="2" l="1"/>
  <c r="H16" i="2"/>
  <c r="G19" i="2"/>
  <c r="G20" i="2" s="1"/>
  <c r="G21" i="2"/>
  <c r="F23" i="2"/>
  <c r="F18" i="2"/>
  <c r="F22" i="2" s="1"/>
  <c r="E27" i="2"/>
  <c r="E8" i="4"/>
  <c r="E10" i="4" s="1"/>
  <c r="E6" i="6"/>
  <c r="E26" i="2"/>
  <c r="H19" i="2" l="1"/>
  <c r="H20" i="2" s="1"/>
  <c r="H17" i="2"/>
  <c r="H21" i="2"/>
  <c r="F8" i="4"/>
  <c r="F10" i="4" s="1"/>
  <c r="F6" i="6"/>
  <c r="F26" i="2"/>
  <c r="F27" i="2"/>
  <c r="G23" i="2"/>
  <c r="G18" i="2"/>
  <c r="G22" i="2" s="1"/>
  <c r="H23" i="2" l="1"/>
  <c r="H18" i="2"/>
  <c r="H22" i="2" s="1"/>
  <c r="G8" i="4"/>
  <c r="G10" i="4" s="1"/>
  <c r="G27" i="2"/>
  <c r="G26" i="2"/>
  <c r="G6" i="6"/>
  <c r="C7" i="6" l="1"/>
  <c r="C10" i="3"/>
  <c r="C19" i="3" s="1"/>
  <c r="C20" i="3" s="1"/>
  <c r="C8" i="6"/>
  <c r="H27" i="2"/>
  <c r="H6" i="6"/>
  <c r="C9" i="3"/>
  <c r="C13" i="3" s="1"/>
  <c r="C15" i="3" s="1"/>
  <c r="H26" i="2"/>
  <c r="H8" i="4"/>
  <c r="H10" i="4" s="1"/>
  <c r="C11" i="4" s="1"/>
  <c r="G15" i="6"/>
  <c r="C15" i="6"/>
  <c r="D19" i="6"/>
  <c r="H18" i="6"/>
  <c r="F17" i="6" l="1"/>
  <c r="E19" i="6"/>
  <c r="G16" i="6"/>
  <c r="F15" i="6"/>
  <c r="E17" i="6"/>
  <c r="H16" i="6"/>
  <c r="G18" i="6"/>
  <c r="G17" i="6"/>
  <c r="E15" i="6"/>
  <c r="C19" i="6"/>
  <c r="C18" i="6"/>
  <c r="F18" i="6"/>
  <c r="D15" i="6"/>
  <c r="D16" i="6"/>
  <c r="C16" i="6"/>
  <c r="C17" i="6"/>
  <c r="H15" i="6"/>
  <c r="D18" i="6"/>
  <c r="F16" i="6"/>
  <c r="D17" i="6"/>
  <c r="E18" i="6"/>
  <c r="G19" i="6"/>
  <c r="H19" i="6"/>
  <c r="E16" i="6"/>
  <c r="F19" i="6"/>
  <c r="H17" i="6"/>
  <c r="C32" i="3"/>
  <c r="C14" i="4" s="1"/>
  <c r="C16" i="4" s="1"/>
  <c r="C23" i="3"/>
  <c r="C25" i="3"/>
  <c r="C28" i="3" s="1"/>
  <c r="C24" i="3"/>
  <c r="C19" i="4" l="1"/>
  <c r="C7" i="5" s="1"/>
  <c r="C17" i="5" s="1"/>
  <c r="C21" i="5" s="1"/>
  <c r="C25" i="5" s="1"/>
  <c r="C26" i="5" s="1"/>
  <c r="C22" i="4" l="1"/>
  <c r="C23" i="4" s="1"/>
</calcChain>
</file>

<file path=xl/sharedStrings.xml><?xml version="1.0" encoding="utf-8"?>
<sst xmlns="http://schemas.openxmlformats.org/spreadsheetml/2006/main" count="213" uniqueCount="201">
  <si>
    <t>DCF MENDALAM — MODEL 5-SHEET</t>
  </si>
  <si>
    <t>PT ABC Tbk (fiktif ilustratif) · Barang konsumsi mid-cap · FCFF + WACC + Gordon/Exit TV</t>
  </si>
  <si>
    <t>ALUR KERJA:</t>
  </si>
  <si>
    <t>1. PROYEKSI</t>
  </si>
  <si>
    <t>Isi sel BIRU: growth revenue T+1..T+5, margin EBIT, tax rate, D&amp;A % rev, CapEx % D&amp;A, NWC % rev. FCFF dan EBITDA hitung otomatis.</t>
  </si>
  <si>
    <t>2. TERMINAL_VALUE</t>
  </si>
  <si>
    <t>Set WACC, terminal growth g, exit multiple. TV Gordon dan Exit Multiple hitung otomatis, plus implied cross-check.</t>
  </si>
  <si>
    <t>3. DISKONTO</t>
  </si>
  <si>
    <t>Faktor diskonto, PV FCFF, PV TV, dan EV. Diagnostik PV(TV)/EV memberi peringatan jika &gt;80%.</t>
  </si>
  <si>
    <t>4. EV_BRIDGE</t>
  </si>
  <si>
    <t>Jembatan EV → net debt → equity value → nilai per saham. Bandingkan dengan harga pasar → sinyal BELI/HOLD/MAHAL.</t>
  </si>
  <si>
    <t>5. SENSITIVITAS</t>
  </si>
  <si>
    <t>Tabel dua dimensi WACC × g. Setiap sel menghitung ulang nilai per saham secara live. Hijau = undervalued, merah = overvalued.</t>
  </si>
  <si>
    <t>ANGKA KUNCI (base case):</t>
  </si>
  <si>
    <t>• Revenue T+0 Rp 4.400 M → T+5 Rp 6.516 M (growth fading 12%→5%)</t>
  </si>
  <si>
    <t>• FCFF T+1 ~Rp 596-614 M → T+5 ~Rp 903-909 M</t>
  </si>
  <si>
    <t>• WACC 11,5% · g 3,5% · Exit multiple 8,5×</t>
  </si>
  <si>
    <t>• EV ~Rp 9.525-9.601 M · Net Debt Rp 1.600 M · Equity ~Rp 7.925-8.001 M</t>
  </si>
  <si>
    <t>• Nilai per saham ~Rp 3.963-4.000 vs pasar Rp 3.500 → undervalued ~13-14%</t>
  </si>
  <si>
    <t>• PV(TV)/EV = 71% (wajar untuk perusahaan matang)</t>
  </si>
  <si>
    <t>• Rentang: artikel membulatkan D&amp;A ( Rp 596 M); model Excel presisi penuh (Rp 614 M). Selisih ~1%, metodologi sama.</t>
  </si>
  <si>
    <t>LEGENDA WARNA:</t>
  </si>
  <si>
    <t>Input manual</t>
  </si>
  <si>
    <t>Sel biru = Anda ubah. Contoh: asumsi growth, margin, WACC, g.</t>
  </si>
  <si>
    <t>Formula hidup</t>
  </si>
  <si>
    <t>Sel hitam = dihitung otomatis. Jangan diketik ulang.</t>
  </si>
  <si>
    <t>Header / total</t>
  </si>
  <si>
    <t>Sel hijau band = sub-judul; sel kuning = total penting; sel oranye = output kunci.</t>
  </si>
  <si>
    <t>Eksperimen yang direkomendasikan:</t>
  </si>
  <si>
    <t>• Skenario pesimis: di SENSITIVITAS, lihat sudut WACC 13,5% + g 2,0% — nilai jatuh ke Rp 2.627 (di bawah pasar).</t>
  </si>
  <si>
    <t>• Terminal dominance: di PROYEKSI, set growth T+1..T+5 = 0% — PV(TV)/EV melonjak di atas 85%.</t>
  </si>
  <si>
    <t>• Exit reality check: di TERMINAL_VALUE, ubah exit multiple ke 12× — bandingkan implied growth dari Gordon.</t>
  </si>
  <si>
    <t>Referensi teori: Gordon (1962), CAPM (Sharpe 1964), WACC (Modigliani-Miller). Konteks Indonesia: PPh badan 22%, SUN 10Y ~7%.</t>
  </si>
  <si>
    <t>PROYEKSI FCFF — PT ABC Tbk (5 Tahun)</t>
  </si>
  <si>
    <t>Perusahaan fiktif ilustratif · Barang konsumsi mid-cap · Satuan Rp juta · Sel BIRU = input, hitam = formula</t>
  </si>
  <si>
    <t>Pos</t>
  </si>
  <si>
    <t>T+0</t>
  </si>
  <si>
    <t>T+1</t>
  </si>
  <si>
    <t>T+2</t>
  </si>
  <si>
    <t>T+3</t>
  </si>
  <si>
    <t>T+4</t>
  </si>
  <si>
    <t>T+5</t>
  </si>
  <si>
    <t>Catatan</t>
  </si>
  <si>
    <t>ASUMSI INPUT (ubah sel biru)</t>
  </si>
  <si>
    <t>Pertumbuhan revenue</t>
  </si>
  <si>
    <t>Fading growth → ke pertumbuhan berkelanjutan</t>
  </si>
  <si>
    <t>Margin EBIT</t>
  </si>
  <si>
    <t>Skala membaik, menyatu ke level matang</t>
  </si>
  <si>
    <t>Tax rate (PPh badan)</t>
  </si>
  <si>
    <t>Konstan 22% (Indonesia). Berlaku semua tahun.</t>
  </si>
  <si>
    <t>D&amp;A sebagai % revenue</t>
  </si>
  <si>
    <t>Industri konsumen: stabil ~3% revenue</t>
  </si>
  <si>
    <t>CapEx sebagai % D&amp;A</t>
  </si>
  <si>
    <t>Sedikit di atas D&amp;A = bisnis tumbuh</t>
  </si>
  <si>
    <t>NWC sebagai % revenue</t>
  </si>
  <si>
    <t>NWC stabil 12% revenue; ΔNWC = 12% × ΔRev</t>
  </si>
  <si>
    <t>PERHITUNGAN (formula hidup)</t>
  </si>
  <si>
    <t>Revenue</t>
  </si>
  <si>
    <t>T+0 input; tahun berikut = sebelumnya × (1+growth)</t>
  </si>
  <si>
    <t>EBIT</t>
  </si>
  <si>
    <t>Revenue × margin EBIT</t>
  </si>
  <si>
    <t>NOPAT = EBIT × (1 − t)</t>
  </si>
  <si>
    <t>Laba operasi setelah pajak</t>
  </si>
  <si>
    <t>+ D&amp;A</t>
  </si>
  <si>
    <t>Beban non-kas; ditambah kembali</t>
  </si>
  <si>
    <t>− CapEx</t>
  </si>
  <si>
    <t>Kas keluar riil untuk investasi</t>
  </si>
  <si>
    <t>− ΔNWC</t>
  </si>
  <si>
    <t>Pertumbuhan mengikat kas ke modal kerja</t>
  </si>
  <si>
    <t>FCFF</t>
  </si>
  <si>
    <t>Arus kas bebas ke perusahaan</t>
  </si>
  <si>
    <t>EBITDA (= EBIT + D&amp;A)</t>
  </si>
  <si>
    <t>Dipakai untuk exit multiple TV</t>
  </si>
  <si>
    <t>DIAGNOSTIK PROYEKSI</t>
  </si>
  <si>
    <t>Pertumbuhan FCFF YoY</t>
  </si>
  <si>
    <t>Pertumbuhan harus fading (tidak akselerasi)</t>
  </si>
  <si>
    <t>Margin FCFF (FCFF/Revenue)</t>
  </si>
  <si>
    <t>Konversi revenue → kas; stabil sehat</t>
  </si>
  <si>
    <t>Catatan: FCFF = NOPAT + D&amp;A − CapEx − ΔNWC. Untuk T+0 (kolom C), FCFF tidak dihitung karena ΔNWC butuh T−1.</t>
  </si>
  <si>
    <t>NILAI TERMINAL — Gordon Growth vs Exit Multiple</t>
  </si>
  <si>
    <t>Dua metode saling memvalidasi. Implied multiple dan implied growth adalah cek silang.</t>
  </si>
  <si>
    <t>INPUT</t>
  </si>
  <si>
    <t>WACC (dari sheet DISKONTO atau input langsung)</t>
  </si>
  <si>
    <t>'= diskonto FCFF</t>
  </si>
  <si>
    <t>Terminal growth (g) — Gordon</t>
  </si>
  <si>
    <t>&lt; PDB nominal Indonesia tren (~5-6%)</t>
  </si>
  <si>
    <t>Exit multiple (EV/EBITDA) T+5</t>
  </si>
  <si>
    <t>Median komparabel konsumen BEI</t>
  </si>
  <si>
    <t>FCFF T+5 (dari PROYEKSI)</t>
  </si>
  <si>
    <t>Link ke sheet PROYEKSI</t>
  </si>
  <si>
    <t>EBITDA T+5 (dari PROYEKSI)</t>
  </si>
  <si>
    <t>METODE A — GORDON GROWTH</t>
  </si>
  <si>
    <t>FCFF T+5 × (1 + g)</t>
  </si>
  <si>
    <t>'= FCFF tahun depan (T+6)</t>
  </si>
  <si>
    <t>WACC − g</t>
  </si>
  <si>
    <t>Penyebut rumus Gordon</t>
  </si>
  <si>
    <t>TV Gordon (Rp M)</t>
  </si>
  <si>
    <t>Nilai terminal Gordon</t>
  </si>
  <si>
    <t>METODE B — EXIT MULTIPLE</t>
  </si>
  <si>
    <t>Exit multiple (EV/EBITDA)</t>
  </si>
  <si>
    <t>Asumsi Anda</t>
  </si>
  <si>
    <t>EBITDA T+5</t>
  </si>
  <si>
    <t>Dari PROYEKSI</t>
  </si>
  <si>
    <t>TV Exit Multiple (Rp M)</t>
  </si>
  <si>
    <t>Nilai terminal exit</t>
  </si>
  <si>
    <t>DIAGNOSTIK SILANG</t>
  </si>
  <si>
    <t>Implied EV/EBITDA dari Gordon</t>
  </si>
  <si>
    <t>Harus mendekati exit multiple asumsi (C8)</t>
  </si>
  <si>
    <t>Implied growth dari Exit Multiple</t>
  </si>
  <si>
    <t>g yang konsisten dengan exit multiple; harus masuk akal</t>
  </si>
  <si>
    <t>Selisih Gordon vs Exit (%)</t>
  </si>
  <si>
    <t>&lt; 10% = sehat; &gt; 20% = cek asumsi</t>
  </si>
  <si>
    <t>CEK KONSISTENSI</t>
  </si>
  <si>
    <t>Status</t>
  </si>
  <si>
    <t>Otomatis berdasarkan selisih</t>
  </si>
  <si>
    <t>TV DIPAKAI UNTUK EV</t>
  </si>
  <si>
    <t>Pilihan TV (1=Gordon, 2=Exit)</t>
  </si>
  <si>
    <t>Default 1 (Gordon). Ubah ke 2 untuk exit.</t>
  </si>
  <si>
    <t>TV terpilih (Rp M)</t>
  </si>
  <si>
    <t>Dipakai di sheet DISKONTO</t>
  </si>
  <si>
    <t>DISKONTO &amp; ENTERPRISE VALUE</t>
  </si>
  <si>
    <t>Setiap FCFF dibawa ke nilai sekarang dengan faktor 1/(1+WACC)^t. EV = Σ PV + PV(TV).</t>
  </si>
  <si>
    <t>WACC</t>
  </si>
  <si>
    <t>Link dari TERMINAL_VALUE (sel input biru di sana)</t>
  </si>
  <si>
    <t>FCFF (dari PROYEKSI)</t>
  </si>
  <si>
    <t>Tahun t = 1..5</t>
  </si>
  <si>
    <t>Faktor diskonto 1/(1+WACC)^t</t>
  </si>
  <si>
    <t>Makin jauh tahun, makin kecil faktor</t>
  </si>
  <si>
    <t>PV FCFF</t>
  </si>
  <si>
    <t>'= FCFF × faktor diskonto</t>
  </si>
  <si>
    <t>Σ PV FCFF (eksplisit 5 tahun)</t>
  </si>
  <si>
    <t>Nilai sekarang dari 5 tahun proyeksi</t>
  </si>
  <si>
    <t>NILAI TERMINAL</t>
  </si>
  <si>
    <t>TV terpilih (dari TERMINAL_VALUE)</t>
  </si>
  <si>
    <t>Gordon atau Exit Multiple sesuai pilihan</t>
  </si>
  <si>
    <t>Faktor diskonto T+5</t>
  </si>
  <si>
    <t>Sama dengan faktor diskonto tahun 5</t>
  </si>
  <si>
    <t>PV Nilai Terminal</t>
  </si>
  <si>
    <t>TV dibawa ke nilai sekarang</t>
  </si>
  <si>
    <t>ENTERPRISE VALUE</t>
  </si>
  <si>
    <t>Enterprise Value (Rp M)</t>
  </si>
  <si>
    <t>'= Σ PV eksplisit + PV nilai terminal</t>
  </si>
  <si>
    <t>DIAGNOSTIK</t>
  </si>
  <si>
    <t>PV(TV) / EV</t>
  </si>
  <si>
    <t>&gt;80% = bendera merah (terlalu bergantung TV)</t>
  </si>
  <si>
    <t>Status TV dominance</t>
  </si>
  <si>
    <t>JEMBATAN EV → EQUITY VALUE → NILAI PER SAHAM</t>
  </si>
  <si>
    <t>EV adalah nilai seluruh firma. Pemegang saham hanya punya klaim atas ekuitas.</t>
  </si>
  <si>
    <t>Nilai (Rp M)</t>
  </si>
  <si>
    <t>Enterprise Value (dari DISKONTO)</t>
  </si>
  <si>
    <t>Link ke sheet DISKONTO</t>
  </si>
  <si>
    <t>JEMBATAN KE EKUITAS</t>
  </si>
  <si>
    <t>− Gross Debt (utang berbunga)</t>
  </si>
  <si>
    <t>Input biru: pinjaman bank + obligasi</t>
  </si>
  <si>
    <t>+ Kas &amp; Setara Kas</t>
  </si>
  <si>
    <t>Input biru: kas &amp; ekivalen</t>
  </si>
  <si>
    <t>− Minority Interest</t>
  </si>
  <si>
    <t>Default 0 untuk ABC Tbk</t>
  </si>
  <si>
    <t>+ Associates / Non-operasi</t>
  </si>
  <si>
    <t>Aset non-operasi yang belum masuk EV</t>
  </si>
  <si>
    <t>'= Net Debt (= Gross Debt − Kas)</t>
  </si>
  <si>
    <t>Net debt (positif = perusahaan net borrower)</t>
  </si>
  <si>
    <t>EQUITY VALUE</t>
  </si>
  <si>
    <t>Equity Value (Rp M)</t>
  </si>
  <si>
    <t>EV − Net Debt − Minority + Associates</t>
  </si>
  <si>
    <t>NILAI PER SAHAM</t>
  </si>
  <si>
    <t>Saham beredar (juta lembar)</t>
  </si>
  <si>
    <t>Input biru: 2.000 juta lembar (= 2 miliar lembar)</t>
  </si>
  <si>
    <t>Nilai per saham (Rp)</t>
  </si>
  <si>
    <t>Equity (Rp M) × 1000 ÷ saham (juta) = Rp/lembar</t>
  </si>
  <si>
    <t>PERBANDINGAN PASAR</t>
  </si>
  <si>
    <t>Harga pasar saat ini (Rp)</t>
  </si>
  <si>
    <t>Input biru: harga saham BEI hari ini</t>
  </si>
  <si>
    <t>Upside / (Downside)</t>
  </si>
  <si>
    <t>Positif = undervalued, negatif = overvalued</t>
  </si>
  <si>
    <t>Sinyal</t>
  </si>
  <si>
    <t>Aturan sederhana berdasar margin of safety</t>
  </si>
  <si>
    <t>SENSITIVITAS — Nilai per Saham pada WACC × Terminal Growth</t>
  </si>
  <si>
    <t>Setiap sel menghitung ulang EV dan nilai per saham secara live. Hijau = saham undervalued (di atas harga pasar).</t>
  </si>
  <si>
    <t>DRIVER DARI SHEET LAIN</t>
  </si>
  <si>
    <t>FCFF T+1..T+5 (link PROYEKSI)</t>
  </si>
  <si>
    <t>Disalin dari PROYEKSI baris 22</t>
  </si>
  <si>
    <t>Hanya untuk info; TV pakai FCFF T+5</t>
  </si>
  <si>
    <t>FCFF T+5</t>
  </si>
  <si>
    <t>Dasar perhitungan Gordon TV</t>
  </si>
  <si>
    <t>Net Debt (dari EV_BRIDGE)</t>
  </si>
  <si>
    <t>Net debt positif (perusahaan pinjam)</t>
  </si>
  <si>
    <t>Saham beredar (juta)</t>
  </si>
  <si>
    <t>Dari EV_BRIDGE</t>
  </si>
  <si>
    <t>Harga pasar (Rp)</t>
  </si>
  <si>
    <t>Harga pasar saat ini (untuk highlight)</t>
  </si>
  <si>
    <t>WACC ↓ / g →</t>
  </si>
  <si>
    <t>LEGENDA:</t>
  </si>
  <si>
    <t>Hijau = di atas harga pasar</t>
  </si>
  <si>
    <t>Merah = di bawah harga pasar</t>
  </si>
  <si>
    <t>Kuning = base case (WACC 11,5%, g 3,5%)</t>
  </si>
  <si>
    <t>INSIGHT:</t>
  </si>
  <si>
    <t>• Rentang nilai per saham bisa &gt; 2× lipat antara sudut pesimis (WACC tinggi, g rendah) dan sudut optimis (WACC rendah, g tinggi).</t>
  </si>
  <si>
    <t>• WACC biasanya lebih kuat daripada g — bergerak satu kolom menggerakkan nilai lebih besar daripada satu baris.</t>
  </si>
  <si>
    <t>• Harga pasar konsisten dengan beberapa pasangan asumsi yang berbeda — pasar adalah agregat banyak model.</t>
  </si>
  <si>
    <t>• Kalau semua sel hijau, DCF sangat optimis; kalau semua merah, sangat pesimis. Realitas biasanya campuran.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</si>
</sst>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&quot;Rp&quot;#,##0,,&quot; M&quot;;&quot;(&quot;\-#,##0,,&quot; M)&quot;;&quot;–&quot;"/>
    <numFmt numFmtId="166" formatCode="0.0&quot;x&quot;"/>
    <numFmt numFmtId="167" formatCode="#,##0.0"/>
    <numFmt numFmtId="168" formatCode="0.0000"/>
    <numFmt numFmtId="169" formatCode="&quot;Rp&quot;#,##0"/>
  </numFmts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i/>
      <sz val="10"/>
      <color rgb="FF555555"/>
      <name val="Calibri"/>
    </font>
    <font>
      <b/>
      <sz val="11"/>
      <color rgb="FF000000"/>
      <name val="Calibri"/>
    </font>
    <font>
      <sz val="11"/>
      <color rgb="FF1F4E79"/>
      <name val="Calibri"/>
    </font>
    <font>
      <sz val="11"/>
      <color rgb="FF000000"/>
      <name val="Calibri"/>
    </font>
    <font>
      <b/>
      <sz val="11"/>
      <color rgb="FFB71C1C"/>
      <name val="Calibri"/>
    </font>
  </fonts>
  <fills count="9">
    <fill>
      <patternFill patternType="none"/>
    </fill>
    <fill>
      <patternFill patternType="gray125"/>
    </fill>
    <fill>
      <patternFill patternType="solid">
        <fgColor rgb="FF00C853"/>
      </patternFill>
    </fill>
    <fill>
      <patternFill patternType="solid">
        <fgColor rgb="FFE8F5E9"/>
      </patternFill>
    </fill>
    <fill>
      <patternFill patternType="solid">
        <fgColor rgb="FFFFF59D"/>
      </patternFill>
    </fill>
    <fill>
      <patternFill patternType="solid">
        <fgColor rgb="FFFFE0B2"/>
      </patternFill>
    </fill>
    <fill>
      <patternFill patternType="solid">
        <fgColor rgb="FFF5F5F5"/>
      </patternFill>
    </fill>
    <fill>
      <patternFill patternType="solid">
        <fgColor rgb="FFC8E6C9"/>
      </patternFill>
    </fill>
    <fill>
      <patternFill patternType="solid">
        <fgColor rgb="FFFFCDD8"/>
      </patternFill>
    </fill>
  </fills>
  <borders count="3">
    <border>
      <left/>
      <right/>
      <top/>
      <bottom/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rgb="FFBBBBBB"/>
      </left>
      <right style="thin">
        <color rgb="FFBBBBBB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0" fillId="3" borderId="0" xfId="0" applyFill="1"/>
    <xf numFmtId="0" fontId="4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5" fontId="5" fillId="0" borderId="1" xfId="0" applyNumberFormat="1" applyFont="1" applyBorder="1" applyAlignment="1">
      <alignment horizontal="right" vertical="center"/>
    </xf>
    <xf numFmtId="0" fontId="3" fillId="4" borderId="0" xfId="0" applyFont="1" applyFill="1" applyAlignment="1">
      <alignment horizontal="left" vertical="center" wrapText="1"/>
    </xf>
    <xf numFmtId="165" fontId="3" fillId="4" borderId="2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 wrapText="1"/>
    </xf>
    <xf numFmtId="10" fontId="4" fillId="0" borderId="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0" fontId="5" fillId="0" borderId="1" xfId="0" applyNumberFormat="1" applyFont="1" applyBorder="1" applyAlignment="1">
      <alignment horizontal="right" vertical="center"/>
    </xf>
    <xf numFmtId="0" fontId="2" fillId="4" borderId="0" xfId="0" applyFont="1" applyFill="1" applyAlignment="1">
      <alignment horizontal="left" vertical="center" wrapText="1"/>
    </xf>
    <xf numFmtId="166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0" fillId="4" borderId="0" xfId="0" applyFill="1"/>
    <xf numFmtId="167" fontId="4" fillId="0" borderId="1" xfId="0" applyNumberFormat="1" applyFont="1" applyBorder="1" applyAlignment="1">
      <alignment horizontal="right" vertical="center"/>
    </xf>
    <xf numFmtId="0" fontId="3" fillId="5" borderId="0" xfId="0" applyFont="1" applyFill="1" applyAlignment="1">
      <alignment horizontal="left" vertical="center" wrapText="1"/>
    </xf>
    <xf numFmtId="165" fontId="6" fillId="5" borderId="2" xfId="0" applyNumberFormat="1" applyFont="1" applyFill="1" applyBorder="1" applyAlignment="1">
      <alignment horizontal="right" vertical="center"/>
    </xf>
    <xf numFmtId="0" fontId="2" fillId="5" borderId="0" xfId="0" applyFont="1" applyFill="1" applyAlignment="1">
      <alignment horizontal="left" vertical="center" wrapText="1"/>
    </xf>
    <xf numFmtId="10" fontId="3" fillId="3" borderId="1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 wrapText="1"/>
    </xf>
    <xf numFmtId="168" fontId="5" fillId="0" borderId="1" xfId="0" applyNumberFormat="1" applyFont="1" applyBorder="1" applyAlignment="1">
      <alignment horizontal="right" vertical="center"/>
    </xf>
    <xf numFmtId="0" fontId="0" fillId="5" borderId="0" xfId="0" applyFill="1"/>
    <xf numFmtId="0" fontId="6" fillId="5" borderId="0" xfId="0" applyFont="1" applyFill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6" fillId="4" borderId="0" xfId="0" applyFont="1" applyFill="1" applyAlignment="1">
      <alignment horizontal="left" vertical="center" wrapText="1"/>
    </xf>
    <xf numFmtId="169" fontId="6" fillId="4" borderId="2" xfId="0" applyNumberFormat="1" applyFont="1" applyFill="1" applyBorder="1" applyAlignment="1">
      <alignment horizontal="right" vertical="center"/>
    </xf>
    <xf numFmtId="169" fontId="4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/>
    </xf>
    <xf numFmtId="169" fontId="5" fillId="0" borderId="1" xfId="0" applyNumberFormat="1" applyFont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0" fontId="3" fillId="6" borderId="1" xfId="0" applyNumberFormat="1" applyFont="1" applyFill="1" applyBorder="1" applyAlignment="1">
      <alignment horizontal="center" vertical="center" wrapText="1"/>
    </xf>
    <xf numFmtId="169" fontId="6" fillId="4" borderId="1" xfId="0" applyNumberFormat="1" applyFont="1" applyFill="1" applyBorder="1" applyAlignment="1">
      <alignment horizontal="right" vertical="center"/>
    </xf>
    <xf numFmtId="0" fontId="5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10">
    <dxf>
      <fill>
        <patternFill patternType="solid">
          <fgColor rgb="FFFFCDD8"/>
        </patternFill>
      </fill>
    </dxf>
    <dxf>
      <fill>
        <patternFill patternType="solid">
          <fgColor rgb="FFC8E6C9"/>
        </patternFill>
      </fill>
    </dxf>
    <dxf>
      <fill>
        <patternFill patternType="solid">
          <fgColor rgb="FFFFF59D"/>
        </patternFill>
      </fill>
    </dxf>
    <dxf>
      <fill>
        <patternFill patternType="solid">
          <fgColor rgb="FFFFCDD8"/>
        </patternFill>
      </fill>
    </dxf>
    <dxf>
      <fill>
        <patternFill patternType="solid">
          <fgColor rgb="FFC8E6C9"/>
        </patternFill>
      </fill>
    </dxf>
    <dxf>
      <fill>
        <patternFill patternType="solid">
          <fgColor rgb="FFC8E6C9"/>
        </patternFill>
      </fill>
    </dxf>
    <dxf>
      <fill>
        <patternFill patternType="solid">
          <fgColor rgb="FFFFF59D"/>
        </patternFill>
      </fill>
    </dxf>
    <dxf>
      <fill>
        <patternFill patternType="solid">
          <fgColor rgb="FFFFCDD8"/>
        </patternFill>
      </fill>
    </dxf>
    <dxf>
      <fill>
        <patternFill patternType="solid">
          <fgColor rgb="FFFFCDD8"/>
        </patternFill>
      </fill>
    </dxf>
    <dxf>
      <fill>
        <patternFill patternType="solid">
          <fgColor rgb="FFC8E6C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31"/>
  <sheetViews>
    <sheetView showGridLines="0" tabSelected="1" workbookViewId="0"/>
  </sheetViews>
  <sheetFormatPr defaultRowHeight="15" x14ac:dyDescent="0.25"/>
  <cols>
    <col min="1" max="1" width="3" customWidth="1"/>
    <col min="2" max="2" width="28" customWidth="1"/>
    <col min="3" max="3" width="80" customWidth="1"/>
  </cols>
  <sheetData>
    <row r="2" spans="2:3" ht="30" customHeight="1" x14ac:dyDescent="0.25">
      <c r="B2" s="53" t="s">
        <v>0</v>
      </c>
      <c r="C2" s="52"/>
    </row>
    <row r="3" spans="2:3" x14ac:dyDescent="0.25">
      <c r="B3" s="54" t="s">
        <v>1</v>
      </c>
      <c r="C3" s="52"/>
    </row>
    <row r="5" spans="2:3" x14ac:dyDescent="0.25">
      <c r="B5" s="1" t="s">
        <v>2</v>
      </c>
    </row>
    <row r="6" spans="2:3" ht="30" x14ac:dyDescent="0.25">
      <c r="B6" s="2" t="s">
        <v>3</v>
      </c>
      <c r="C6" s="3" t="s">
        <v>4</v>
      </c>
    </row>
    <row r="7" spans="2:3" ht="30" x14ac:dyDescent="0.25">
      <c r="B7" s="2" t="s">
        <v>5</v>
      </c>
      <c r="C7" s="3" t="s">
        <v>6</v>
      </c>
    </row>
    <row r="8" spans="2:3" ht="30" x14ac:dyDescent="0.25">
      <c r="B8" s="2" t="s">
        <v>7</v>
      </c>
      <c r="C8" s="3" t="s">
        <v>8</v>
      </c>
    </row>
    <row r="9" spans="2:3" ht="30" x14ac:dyDescent="0.25">
      <c r="B9" s="2" t="s">
        <v>9</v>
      </c>
      <c r="C9" s="3" t="s">
        <v>10</v>
      </c>
    </row>
    <row r="10" spans="2:3" ht="30" x14ac:dyDescent="0.25">
      <c r="B10" s="2" t="s">
        <v>11</v>
      </c>
      <c r="C10" s="3" t="s">
        <v>12</v>
      </c>
    </row>
    <row r="12" spans="2:3" x14ac:dyDescent="0.25">
      <c r="B12" s="1" t="s">
        <v>13</v>
      </c>
    </row>
    <row r="13" spans="2:3" x14ac:dyDescent="0.25">
      <c r="B13" s="51" t="s">
        <v>14</v>
      </c>
      <c r="C13" s="52"/>
    </row>
    <row r="14" spans="2:3" x14ac:dyDescent="0.25">
      <c r="B14" s="51" t="s">
        <v>15</v>
      </c>
      <c r="C14" s="52"/>
    </row>
    <row r="15" spans="2:3" x14ac:dyDescent="0.25">
      <c r="B15" s="51" t="s">
        <v>16</v>
      </c>
      <c r="C15" s="52"/>
    </row>
    <row r="16" spans="2:3" x14ac:dyDescent="0.25">
      <c r="B16" s="51" t="s">
        <v>17</v>
      </c>
      <c r="C16" s="52"/>
    </row>
    <row r="17" spans="2:3" x14ac:dyDescent="0.25">
      <c r="B17" s="51" t="s">
        <v>18</v>
      </c>
      <c r="C17" s="52"/>
    </row>
    <row r="18" spans="2:3" x14ac:dyDescent="0.25">
      <c r="B18" s="51" t="s">
        <v>19</v>
      </c>
      <c r="C18" s="52"/>
    </row>
    <row r="19" spans="2:3" x14ac:dyDescent="0.25">
      <c r="B19" s="51" t="s">
        <v>20</v>
      </c>
      <c r="C19" s="52"/>
    </row>
    <row r="21" spans="2:3" x14ac:dyDescent="0.25">
      <c r="B21" s="1" t="s">
        <v>21</v>
      </c>
    </row>
    <row r="22" spans="2:3" x14ac:dyDescent="0.25">
      <c r="B22" s="5" t="s">
        <v>22</v>
      </c>
      <c r="C22" s="3" t="s">
        <v>23</v>
      </c>
    </row>
    <row r="23" spans="2:3" x14ac:dyDescent="0.25">
      <c r="B23" s="3" t="s">
        <v>24</v>
      </c>
      <c r="C23" s="3" t="s">
        <v>25</v>
      </c>
    </row>
    <row r="24" spans="2:3" x14ac:dyDescent="0.25">
      <c r="B24" s="6" t="s">
        <v>26</v>
      </c>
      <c r="C24" s="3" t="s">
        <v>27</v>
      </c>
    </row>
    <row r="26" spans="2:3" ht="30" x14ac:dyDescent="0.25">
      <c r="B26" s="1" t="s">
        <v>28</v>
      </c>
    </row>
    <row r="27" spans="2:3" x14ac:dyDescent="0.25">
      <c r="B27" s="51" t="s">
        <v>29</v>
      </c>
      <c r="C27" s="52"/>
    </row>
    <row r="28" spans="2:3" x14ac:dyDescent="0.25">
      <c r="B28" s="51" t="s">
        <v>30</v>
      </c>
      <c r="C28" s="52"/>
    </row>
    <row r="29" spans="2:3" x14ac:dyDescent="0.25">
      <c r="B29" s="51" t="s">
        <v>31</v>
      </c>
      <c r="C29" s="52"/>
    </row>
    <row r="31" spans="2:3" x14ac:dyDescent="0.25">
      <c r="B31" s="55" t="s">
        <v>32</v>
      </c>
      <c r="C31" s="52"/>
    </row>
  </sheetData>
  <mergeCells count="13">
    <mergeCell ref="B31:C31"/>
    <mergeCell ref="B17:C17"/>
    <mergeCell ref="B18:C18"/>
    <mergeCell ref="B13:C13"/>
    <mergeCell ref="B2:C2"/>
    <mergeCell ref="B16:C16"/>
    <mergeCell ref="B15:C15"/>
    <mergeCell ref="B29:C29"/>
    <mergeCell ref="B3:C3"/>
    <mergeCell ref="B19:C19"/>
    <mergeCell ref="B27:C27"/>
    <mergeCell ref="B28:C28"/>
    <mergeCell ref="B14:C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9"/>
  <sheetViews>
    <sheetView showGridLines="0" workbookViewId="0"/>
  </sheetViews>
  <sheetFormatPr defaultRowHeight="15" x14ac:dyDescent="0.25"/>
  <cols>
    <col min="1" max="1" width="3" customWidth="1"/>
    <col min="2" max="2" width="34" customWidth="1"/>
    <col min="3" max="8" width="14" customWidth="1"/>
    <col min="9" max="9" width="40" customWidth="1"/>
  </cols>
  <sheetData>
    <row r="2" spans="2:9" ht="27.95" customHeight="1" x14ac:dyDescent="0.25">
      <c r="B2" s="53" t="s">
        <v>33</v>
      </c>
      <c r="C2" s="52"/>
      <c r="D2" s="52"/>
      <c r="E2" s="52"/>
      <c r="F2" s="52"/>
      <c r="G2" s="52"/>
      <c r="H2" s="52"/>
      <c r="I2" s="52"/>
    </row>
    <row r="3" spans="2:9" x14ac:dyDescent="0.25">
      <c r="B3" s="54" t="s">
        <v>34</v>
      </c>
      <c r="C3" s="52"/>
      <c r="D3" s="52"/>
      <c r="E3" s="52"/>
      <c r="F3" s="52"/>
      <c r="G3" s="52"/>
      <c r="H3" s="52"/>
      <c r="I3" s="52"/>
    </row>
    <row r="5" spans="2:9" ht="21.95" customHeight="1" x14ac:dyDescent="0.25">
      <c r="B5" s="6" t="s">
        <v>35</v>
      </c>
      <c r="C5" s="6" t="s">
        <v>36</v>
      </c>
      <c r="D5" s="6" t="s">
        <v>37</v>
      </c>
      <c r="E5" s="6" t="s">
        <v>38</v>
      </c>
      <c r="F5" s="6" t="s">
        <v>39</v>
      </c>
      <c r="G5" s="6" t="s">
        <v>40</v>
      </c>
      <c r="H5" s="6" t="s">
        <v>41</v>
      </c>
      <c r="I5" s="6" t="s">
        <v>42</v>
      </c>
    </row>
    <row r="7" spans="2:9" x14ac:dyDescent="0.25">
      <c r="B7" s="8" t="s">
        <v>43</v>
      </c>
      <c r="C7" s="9"/>
      <c r="D7" s="9"/>
      <c r="E7" s="9"/>
      <c r="F7" s="9"/>
      <c r="G7" s="9"/>
      <c r="H7" s="9"/>
      <c r="I7" s="9"/>
    </row>
    <row r="8" spans="2:9" x14ac:dyDescent="0.25">
      <c r="B8" s="10" t="s">
        <v>44</v>
      </c>
      <c r="C8" s="11"/>
      <c r="D8" s="11">
        <v>0.12</v>
      </c>
      <c r="E8" s="11">
        <v>0.1</v>
      </c>
      <c r="F8" s="11">
        <v>0.08</v>
      </c>
      <c r="G8" s="11">
        <v>0.06</v>
      </c>
      <c r="H8" s="11">
        <v>0.05</v>
      </c>
      <c r="I8" s="12" t="s">
        <v>45</v>
      </c>
    </row>
    <row r="9" spans="2:9" x14ac:dyDescent="0.25">
      <c r="B9" s="10" t="s">
        <v>46</v>
      </c>
      <c r="C9" s="11">
        <v>0.18</v>
      </c>
      <c r="D9" s="11">
        <v>0.18</v>
      </c>
      <c r="E9" s="11">
        <v>0.185</v>
      </c>
      <c r="F9" s="11">
        <v>0.19</v>
      </c>
      <c r="G9" s="11">
        <v>0.19</v>
      </c>
      <c r="H9" s="11">
        <v>0.19</v>
      </c>
      <c r="I9" s="12" t="s">
        <v>47</v>
      </c>
    </row>
    <row r="10" spans="2:9" x14ac:dyDescent="0.25">
      <c r="B10" s="10" t="s">
        <v>48</v>
      </c>
      <c r="C10" s="11">
        <v>0.22</v>
      </c>
      <c r="D10" s="13">
        <f>$C$10</f>
        <v>0.22</v>
      </c>
      <c r="E10" s="13">
        <f>$C$10</f>
        <v>0.22</v>
      </c>
      <c r="F10" s="13">
        <f>$C$10</f>
        <v>0.22</v>
      </c>
      <c r="G10" s="13">
        <f>$C$10</f>
        <v>0.22</v>
      </c>
      <c r="H10" s="13">
        <f>$C$10</f>
        <v>0.22</v>
      </c>
      <c r="I10" s="7" t="s">
        <v>49</v>
      </c>
    </row>
    <row r="11" spans="2:9" x14ac:dyDescent="0.25">
      <c r="B11" s="10" t="s">
        <v>50</v>
      </c>
      <c r="C11" s="11"/>
      <c r="D11" s="11">
        <v>0.03</v>
      </c>
      <c r="E11" s="11">
        <v>0.03</v>
      </c>
      <c r="F11" s="11">
        <v>0.03</v>
      </c>
      <c r="G11" s="11">
        <v>0.03</v>
      </c>
      <c r="H11" s="11">
        <v>0.03</v>
      </c>
      <c r="I11" s="12" t="s">
        <v>51</v>
      </c>
    </row>
    <row r="12" spans="2:9" x14ac:dyDescent="0.25">
      <c r="B12" s="10" t="s">
        <v>52</v>
      </c>
      <c r="C12" s="11"/>
      <c r="D12" s="11">
        <v>1.1000000000000001</v>
      </c>
      <c r="E12" s="11">
        <v>1.1000000000000001</v>
      </c>
      <c r="F12" s="11">
        <v>1.1000000000000001</v>
      </c>
      <c r="G12" s="11">
        <v>1.1000000000000001</v>
      </c>
      <c r="H12" s="11">
        <v>1.1000000000000001</v>
      </c>
      <c r="I12" s="12" t="s">
        <v>53</v>
      </c>
    </row>
    <row r="13" spans="2:9" x14ac:dyDescent="0.25">
      <c r="B13" s="10" t="s">
        <v>54</v>
      </c>
      <c r="C13" s="11">
        <v>0.12</v>
      </c>
      <c r="D13" s="11">
        <v>0.12</v>
      </c>
      <c r="E13" s="11">
        <v>0.12</v>
      </c>
      <c r="F13" s="11">
        <v>0.12</v>
      </c>
      <c r="G13" s="11">
        <v>0.12</v>
      </c>
      <c r="H13" s="11">
        <v>0.12</v>
      </c>
      <c r="I13" s="12" t="s">
        <v>55</v>
      </c>
    </row>
    <row r="15" spans="2:9" x14ac:dyDescent="0.25">
      <c r="B15" s="8" t="s">
        <v>56</v>
      </c>
      <c r="C15" s="9"/>
      <c r="D15" s="9"/>
      <c r="E15" s="9"/>
      <c r="F15" s="9"/>
      <c r="G15" s="9"/>
      <c r="H15" s="9"/>
      <c r="I15" s="9"/>
    </row>
    <row r="16" spans="2:9" ht="25.5" x14ac:dyDescent="0.25">
      <c r="B16" s="1" t="s">
        <v>57</v>
      </c>
      <c r="C16" s="14">
        <v>4400</v>
      </c>
      <c r="D16" s="15">
        <f>C16*(1+D8)</f>
        <v>4928.0000000000009</v>
      </c>
      <c r="E16" s="15">
        <f>D16*(1+E8)</f>
        <v>5420.8000000000011</v>
      </c>
      <c r="F16" s="15">
        <f>E16*(1+F8)</f>
        <v>5854.4640000000018</v>
      </c>
      <c r="G16" s="15">
        <f>F16*(1+G8)</f>
        <v>6205.7318400000022</v>
      </c>
      <c r="H16" s="15">
        <f>G16*(1+H8)</f>
        <v>6516.0184320000026</v>
      </c>
      <c r="I16" s="12" t="s">
        <v>58</v>
      </c>
    </row>
    <row r="17" spans="2:9" x14ac:dyDescent="0.25">
      <c r="B17" s="1" t="s">
        <v>59</v>
      </c>
      <c r="C17" s="15">
        <f t="shared" ref="C17:H17" si="0">C16*C9</f>
        <v>792</v>
      </c>
      <c r="D17" s="15">
        <f t="shared" si="0"/>
        <v>887.04000000000008</v>
      </c>
      <c r="E17" s="15">
        <f t="shared" si="0"/>
        <v>1002.8480000000002</v>
      </c>
      <c r="F17" s="15">
        <f t="shared" si="0"/>
        <v>1112.3481600000002</v>
      </c>
      <c r="G17" s="15">
        <f t="shared" si="0"/>
        <v>1179.0890496000004</v>
      </c>
      <c r="H17" s="15">
        <f t="shared" si="0"/>
        <v>1238.0435020800005</v>
      </c>
      <c r="I17" s="12" t="s">
        <v>60</v>
      </c>
    </row>
    <row r="18" spans="2:9" x14ac:dyDescent="0.25">
      <c r="B18" s="1" t="s">
        <v>61</v>
      </c>
      <c r="C18" s="15">
        <f t="shared" ref="C18:H18" si="1">C17*(1-C10)</f>
        <v>617.76</v>
      </c>
      <c r="D18" s="15">
        <f t="shared" si="1"/>
        <v>691.89120000000014</v>
      </c>
      <c r="E18" s="15">
        <f t="shared" si="1"/>
        <v>782.22144000000014</v>
      </c>
      <c r="F18" s="15">
        <f t="shared" si="1"/>
        <v>867.63156480000021</v>
      </c>
      <c r="G18" s="15">
        <f t="shared" si="1"/>
        <v>919.6894586880004</v>
      </c>
      <c r="H18" s="15">
        <f t="shared" si="1"/>
        <v>965.67393162240046</v>
      </c>
      <c r="I18" s="12" t="s">
        <v>62</v>
      </c>
    </row>
    <row r="19" spans="2:9" x14ac:dyDescent="0.25">
      <c r="B19" s="4" t="s">
        <v>63</v>
      </c>
      <c r="D19" s="16">
        <f>D16*D11</f>
        <v>147.84000000000003</v>
      </c>
      <c r="E19" s="16">
        <f>E16*E11</f>
        <v>162.62400000000002</v>
      </c>
      <c r="F19" s="16">
        <f>F16*F11</f>
        <v>175.63392000000005</v>
      </c>
      <c r="G19" s="16">
        <f>G16*G11</f>
        <v>186.17195520000007</v>
      </c>
      <c r="H19" s="16">
        <f>H16*H11</f>
        <v>195.48055296000007</v>
      </c>
      <c r="I19" s="12" t="s">
        <v>64</v>
      </c>
    </row>
    <row r="20" spans="2:9" x14ac:dyDescent="0.25">
      <c r="B20" s="4" t="s">
        <v>65</v>
      </c>
      <c r="D20" s="16">
        <f>-D19*D12</f>
        <v>-162.62400000000005</v>
      </c>
      <c r="E20" s="16">
        <f>-E19*E12</f>
        <v>-178.88640000000004</v>
      </c>
      <c r="F20" s="16">
        <f>-F19*F12</f>
        <v>-193.19731200000007</v>
      </c>
      <c r="G20" s="16">
        <f>-G19*G12</f>
        <v>-204.78915072000009</v>
      </c>
      <c r="H20" s="16">
        <f>-H19*H12</f>
        <v>-215.0286082560001</v>
      </c>
      <c r="I20" s="12" t="s">
        <v>66</v>
      </c>
    </row>
    <row r="21" spans="2:9" x14ac:dyDescent="0.25">
      <c r="B21" s="4" t="s">
        <v>67</v>
      </c>
      <c r="D21" s="16">
        <f>-D13*(D16-C16)</f>
        <v>-63.360000000000106</v>
      </c>
      <c r="E21" s="16">
        <f>-E13*(E16-D16)</f>
        <v>-59.136000000000017</v>
      </c>
      <c r="F21" s="16">
        <f>-F13*(F16-E16)</f>
        <v>-52.039680000000075</v>
      </c>
      <c r="G21" s="16">
        <f>-G13*(G16-F16)</f>
        <v>-42.152140800000048</v>
      </c>
      <c r="H21" s="16">
        <f>-H13*(H16-G16)</f>
        <v>-37.234391040000041</v>
      </c>
      <c r="I21" s="12" t="s">
        <v>68</v>
      </c>
    </row>
    <row r="22" spans="2:9" x14ac:dyDescent="0.25">
      <c r="B22" s="17" t="s">
        <v>69</v>
      </c>
      <c r="D22" s="18">
        <f>D18+D19+D20+D21</f>
        <v>613.74720000000002</v>
      </c>
      <c r="E22" s="18">
        <f>E18+E19+E20+E21</f>
        <v>706.82304000000022</v>
      </c>
      <c r="F22" s="18">
        <f>F18+F19+F20+F21</f>
        <v>798.02849280000009</v>
      </c>
      <c r="G22" s="18">
        <f>G18+G19+G20+G21</f>
        <v>858.92012236800031</v>
      </c>
      <c r="H22" s="18">
        <f>H18+H19+H20+H21</f>
        <v>908.89148528640044</v>
      </c>
      <c r="I22" s="19" t="s">
        <v>70</v>
      </c>
    </row>
    <row r="23" spans="2:9" x14ac:dyDescent="0.25">
      <c r="B23" s="1" t="s">
        <v>71</v>
      </c>
      <c r="D23" s="15">
        <f>D17+D19</f>
        <v>1034.8800000000001</v>
      </c>
      <c r="E23" s="15">
        <f>E17+E19</f>
        <v>1165.4720000000002</v>
      </c>
      <c r="F23" s="15">
        <f>F17+F19</f>
        <v>1287.9820800000002</v>
      </c>
      <c r="G23" s="15">
        <f>G17+G19</f>
        <v>1365.2610048000006</v>
      </c>
      <c r="H23" s="15">
        <f>H17+H19</f>
        <v>1433.5240550400006</v>
      </c>
      <c r="I23" s="12" t="s">
        <v>72</v>
      </c>
    </row>
    <row r="25" spans="2:9" x14ac:dyDescent="0.25">
      <c r="B25" s="8" t="s">
        <v>73</v>
      </c>
      <c r="C25" s="9"/>
      <c r="D25" s="9"/>
      <c r="E25" s="9"/>
      <c r="F25" s="9"/>
      <c r="G25" s="9"/>
      <c r="H25" s="9"/>
      <c r="I25" s="9"/>
    </row>
    <row r="26" spans="2:9" x14ac:dyDescent="0.25">
      <c r="B26" s="4" t="s">
        <v>74</v>
      </c>
      <c r="E26" s="13" t="e">
        <f>E22/BP22-1</f>
        <v>#DIV/0!</v>
      </c>
      <c r="F26" s="13" t="e">
        <f>F22/BQ22-1</f>
        <v>#DIV/0!</v>
      </c>
      <c r="G26" s="13" t="e">
        <f>G22/BR22-1</f>
        <v>#DIV/0!</v>
      </c>
      <c r="H26" s="13" t="e">
        <f>H22/BS22-1</f>
        <v>#DIV/0!</v>
      </c>
      <c r="I26" s="12" t="s">
        <v>75</v>
      </c>
    </row>
    <row r="27" spans="2:9" x14ac:dyDescent="0.25">
      <c r="B27" s="4" t="s">
        <v>76</v>
      </c>
      <c r="D27" s="13">
        <f>D22/D16</f>
        <v>0.12454285714285712</v>
      </c>
      <c r="E27" s="13">
        <f>E22/E16</f>
        <v>0.13039090909090911</v>
      </c>
      <c r="F27" s="13">
        <f>F22/F16</f>
        <v>0.13631111111111108</v>
      </c>
      <c r="G27" s="13">
        <f>G22/G16</f>
        <v>0.13840754716981132</v>
      </c>
      <c r="H27" s="13">
        <f>H22/H16</f>
        <v>0.1394857142857143</v>
      </c>
      <c r="I27" s="12" t="s">
        <v>77</v>
      </c>
    </row>
    <row r="29" spans="2:9" x14ac:dyDescent="0.25">
      <c r="B29" s="55" t="s">
        <v>78</v>
      </c>
      <c r="C29" s="52"/>
      <c r="D29" s="52"/>
      <c r="E29" s="52"/>
      <c r="F29" s="52"/>
      <c r="G29" s="52"/>
      <c r="H29" s="52"/>
      <c r="I29" s="52"/>
    </row>
  </sheetData>
  <mergeCells count="3">
    <mergeCell ref="B3:I3"/>
    <mergeCell ref="B2:I2"/>
    <mergeCell ref="B29:I2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32"/>
  <sheetViews>
    <sheetView showGridLines="0" workbookViewId="0"/>
  </sheetViews>
  <sheetFormatPr defaultRowHeight="15" x14ac:dyDescent="0.25"/>
  <cols>
    <col min="1" max="1" width="3" customWidth="1"/>
    <col min="2" max="2" width="38" customWidth="1"/>
    <col min="3" max="4" width="18" customWidth="1"/>
    <col min="5" max="5" width="50" customWidth="1"/>
  </cols>
  <sheetData>
    <row r="2" spans="2:5" ht="27.95" customHeight="1" x14ac:dyDescent="0.25">
      <c r="B2" s="53" t="s">
        <v>79</v>
      </c>
      <c r="C2" s="52"/>
      <c r="D2" s="52"/>
      <c r="E2" s="52"/>
    </row>
    <row r="3" spans="2:5" x14ac:dyDescent="0.25">
      <c r="B3" s="54" t="s">
        <v>80</v>
      </c>
      <c r="C3" s="52"/>
      <c r="D3" s="52"/>
      <c r="E3" s="52"/>
    </row>
    <row r="5" spans="2:5" x14ac:dyDescent="0.25">
      <c r="B5" s="8" t="s">
        <v>81</v>
      </c>
      <c r="C5" s="9"/>
      <c r="D5" s="9"/>
      <c r="E5" s="9"/>
    </row>
    <row r="6" spans="2:5" ht="30" x14ac:dyDescent="0.25">
      <c r="B6" s="4" t="s">
        <v>82</v>
      </c>
      <c r="C6" s="20">
        <v>0.115</v>
      </c>
      <c r="D6" s="7" t="s">
        <v>83</v>
      </c>
    </row>
    <row r="7" spans="2:5" ht="38.25" x14ac:dyDescent="0.25">
      <c r="B7" s="4" t="s">
        <v>84</v>
      </c>
      <c r="C7" s="11">
        <v>3.5000000000000003E-2</v>
      </c>
      <c r="D7" s="7" t="s">
        <v>85</v>
      </c>
    </row>
    <row r="8" spans="2:5" ht="25.5" x14ac:dyDescent="0.25">
      <c r="B8" s="4" t="s">
        <v>86</v>
      </c>
      <c r="C8" s="21">
        <v>8.5</v>
      </c>
      <c r="D8" s="7" t="s">
        <v>87</v>
      </c>
    </row>
    <row r="9" spans="2:5" ht="25.5" x14ac:dyDescent="0.25">
      <c r="B9" s="4" t="s">
        <v>88</v>
      </c>
      <c r="C9" s="15">
        <f>PROYEKSI!H22</f>
        <v>908.89148528640044</v>
      </c>
      <c r="D9" s="7" t="s">
        <v>89</v>
      </c>
    </row>
    <row r="10" spans="2:5" ht="25.5" x14ac:dyDescent="0.25">
      <c r="B10" s="4" t="s">
        <v>90</v>
      </c>
      <c r="C10" s="15">
        <f>PROYEKSI!H23</f>
        <v>1433.5240550400006</v>
      </c>
      <c r="D10" s="7" t="s">
        <v>89</v>
      </c>
    </row>
    <row r="12" spans="2:5" x14ac:dyDescent="0.25">
      <c r="B12" s="8" t="s">
        <v>91</v>
      </c>
      <c r="C12" s="9"/>
      <c r="D12" s="9"/>
      <c r="E12" s="9"/>
    </row>
    <row r="13" spans="2:5" ht="25.5" x14ac:dyDescent="0.25">
      <c r="B13" s="4" t="s">
        <v>92</v>
      </c>
      <c r="C13" s="16">
        <f>C9*(1+C7)</f>
        <v>940.70268727142434</v>
      </c>
      <c r="D13" s="7" t="s">
        <v>93</v>
      </c>
    </row>
    <row r="14" spans="2:5" ht="25.5" x14ac:dyDescent="0.25">
      <c r="B14" s="4" t="s">
        <v>94</v>
      </c>
      <c r="C14" s="22">
        <f>C6-C7</f>
        <v>0.08</v>
      </c>
      <c r="D14" s="7" t="s">
        <v>95</v>
      </c>
    </row>
    <row r="15" spans="2:5" x14ac:dyDescent="0.25">
      <c r="B15" s="17" t="s">
        <v>96</v>
      </c>
      <c r="C15" s="18">
        <f>C13/C14</f>
        <v>11758.783590892805</v>
      </c>
      <c r="D15" s="23" t="s">
        <v>97</v>
      </c>
    </row>
    <row r="17" spans="2:5" x14ac:dyDescent="0.25">
      <c r="B17" s="8" t="s">
        <v>98</v>
      </c>
      <c r="C17" s="9"/>
      <c r="D17" s="9"/>
      <c r="E17" s="9"/>
    </row>
    <row r="18" spans="2:5" x14ac:dyDescent="0.25">
      <c r="B18" s="4" t="s">
        <v>99</v>
      </c>
      <c r="C18" s="24">
        <f>C8</f>
        <v>8.5</v>
      </c>
      <c r="D18" s="7" t="s">
        <v>100</v>
      </c>
    </row>
    <row r="19" spans="2:5" x14ac:dyDescent="0.25">
      <c r="B19" s="4" t="s">
        <v>101</v>
      </c>
      <c r="C19" s="16">
        <f>C10</f>
        <v>1433.5240550400006</v>
      </c>
      <c r="D19" s="7" t="s">
        <v>102</v>
      </c>
    </row>
    <row r="20" spans="2:5" x14ac:dyDescent="0.25">
      <c r="B20" s="17" t="s">
        <v>103</v>
      </c>
      <c r="C20" s="18">
        <f>C18*C19</f>
        <v>12184.954467840005</v>
      </c>
      <c r="D20" s="23" t="s">
        <v>104</v>
      </c>
    </row>
    <row r="22" spans="2:5" x14ac:dyDescent="0.25">
      <c r="B22" s="8" t="s">
        <v>105</v>
      </c>
      <c r="C22" s="9"/>
      <c r="D22" s="9"/>
      <c r="E22" s="9"/>
    </row>
    <row r="23" spans="2:5" ht="25.5" x14ac:dyDescent="0.25">
      <c r="B23" s="4" t="s">
        <v>106</v>
      </c>
      <c r="C23" s="24">
        <f>C15/C10</f>
        <v>8.2027110389610396</v>
      </c>
      <c r="D23" s="7" t="s">
        <v>107</v>
      </c>
    </row>
    <row r="24" spans="2:5" ht="38.25" x14ac:dyDescent="0.25">
      <c r="B24" s="4" t="s">
        <v>108</v>
      </c>
      <c r="C24" s="13">
        <f>(C20*C6-C9)/(C20+C9)</f>
        <v>3.7603793436842406E-2</v>
      </c>
      <c r="D24" s="7" t="s">
        <v>109</v>
      </c>
    </row>
    <row r="25" spans="2:5" ht="25.5" x14ac:dyDescent="0.25">
      <c r="B25" s="4" t="s">
        <v>110</v>
      </c>
      <c r="C25" s="13">
        <f>C20/C15-1</f>
        <v>3.6242768961006311E-2</v>
      </c>
      <c r="D25" s="7" t="s">
        <v>111</v>
      </c>
    </row>
    <row r="27" spans="2:5" x14ac:dyDescent="0.25">
      <c r="B27" s="8" t="s">
        <v>112</v>
      </c>
      <c r="C27" s="9"/>
      <c r="D27" s="9"/>
      <c r="E27" s="9"/>
    </row>
    <row r="28" spans="2:5" ht="25.5" x14ac:dyDescent="0.25">
      <c r="B28" s="1" t="s">
        <v>113</v>
      </c>
      <c r="C28" s="25" t="str">
        <f>IF(ABS(C25)&lt;0.1,"OK — dua metode konsisten","CEK — asumsi Gordon &amp; Exit tidak sejalan")</f>
        <v>OK — dua metode konsisten</v>
      </c>
      <c r="D28" s="7" t="s">
        <v>114</v>
      </c>
    </row>
    <row r="30" spans="2:5" x14ac:dyDescent="0.25">
      <c r="B30" s="17" t="s">
        <v>115</v>
      </c>
      <c r="C30" s="26"/>
      <c r="D30" s="26"/>
      <c r="E30" s="26"/>
    </row>
    <row r="31" spans="2:5" ht="25.5" x14ac:dyDescent="0.25">
      <c r="B31" s="4" t="s">
        <v>116</v>
      </c>
      <c r="C31" s="27">
        <v>1</v>
      </c>
      <c r="D31" s="7" t="s">
        <v>117</v>
      </c>
    </row>
    <row r="32" spans="2:5" ht="25.5" x14ac:dyDescent="0.25">
      <c r="B32" s="28" t="s">
        <v>118</v>
      </c>
      <c r="C32" s="29">
        <f>IF(C31=1,C15,C20)</f>
        <v>11758.783590892805</v>
      </c>
      <c r="D32" s="30" t="s">
        <v>119</v>
      </c>
    </row>
  </sheetData>
  <mergeCells count="2">
    <mergeCell ref="B3:E3"/>
    <mergeCell ref="B2:E2"/>
  </mergeCells>
  <conditionalFormatting sqref="C28">
    <cfRule type="expression" dxfId="9" priority="1">
      <formula>ISNUMBER(SEARCH("OK",C28))</formula>
    </cfRule>
    <cfRule type="expression" dxfId="8" priority="2">
      <formula>ISNUMBER(SEARCH("CEK",C28))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3"/>
  <sheetViews>
    <sheetView showGridLines="0" workbookViewId="0"/>
  </sheetViews>
  <sheetFormatPr defaultRowHeight="15" x14ac:dyDescent="0.25"/>
  <cols>
    <col min="1" max="1" width="3" customWidth="1"/>
    <col min="2" max="2" width="30" customWidth="1"/>
    <col min="3" max="8" width="14" customWidth="1"/>
    <col min="9" max="9" width="40" customWidth="1"/>
  </cols>
  <sheetData>
    <row r="2" spans="2:9" ht="27.95" customHeight="1" x14ac:dyDescent="0.25">
      <c r="B2" s="53" t="s">
        <v>120</v>
      </c>
      <c r="C2" s="52"/>
      <c r="D2" s="52"/>
      <c r="E2" s="52"/>
      <c r="F2" s="52"/>
      <c r="G2" s="52"/>
      <c r="H2" s="52"/>
      <c r="I2" s="52"/>
    </row>
    <row r="3" spans="2:9" x14ac:dyDescent="0.25">
      <c r="B3" s="54" t="s">
        <v>121</v>
      </c>
      <c r="C3" s="52"/>
      <c r="D3" s="52"/>
      <c r="E3" s="52"/>
      <c r="F3" s="52"/>
      <c r="G3" s="52"/>
      <c r="H3" s="52"/>
      <c r="I3" s="52"/>
    </row>
    <row r="5" spans="2:9" x14ac:dyDescent="0.25">
      <c r="B5" s="6" t="s">
        <v>35</v>
      </c>
      <c r="C5" s="6" t="s">
        <v>36</v>
      </c>
      <c r="D5" s="6" t="s">
        <v>37</v>
      </c>
      <c r="E5" s="6" t="s">
        <v>38</v>
      </c>
      <c r="F5" s="6" t="s">
        <v>39</v>
      </c>
      <c r="G5" s="6" t="s">
        <v>40</v>
      </c>
      <c r="H5" s="6" t="s">
        <v>41</v>
      </c>
      <c r="I5" s="6" t="s">
        <v>42</v>
      </c>
    </row>
    <row r="7" spans="2:9" x14ac:dyDescent="0.25">
      <c r="B7" s="8" t="s">
        <v>122</v>
      </c>
      <c r="C7" s="31">
        <f>TERMINAL_VALUE!C6</f>
        <v>0.115</v>
      </c>
      <c r="D7" s="31">
        <f>$C$7</f>
        <v>0.115</v>
      </c>
      <c r="E7" s="31">
        <f>$C$7</f>
        <v>0.115</v>
      </c>
      <c r="F7" s="31">
        <f>$C$7</f>
        <v>0.115</v>
      </c>
      <c r="G7" s="31">
        <f>$C$7</f>
        <v>0.115</v>
      </c>
      <c r="H7" s="31">
        <f>$C$7</f>
        <v>0.115</v>
      </c>
      <c r="I7" s="32" t="s">
        <v>123</v>
      </c>
    </row>
    <row r="8" spans="2:9" x14ac:dyDescent="0.25">
      <c r="B8" s="4" t="s">
        <v>124</v>
      </c>
      <c r="D8" s="16">
        <f>PROYEKSI!D22</f>
        <v>613.74720000000002</v>
      </c>
      <c r="E8" s="16">
        <f>PROYEKSI!E22</f>
        <v>706.82304000000022</v>
      </c>
      <c r="F8" s="16">
        <f>PROYEKSI!F22</f>
        <v>798.02849280000009</v>
      </c>
      <c r="G8" s="16">
        <f>PROYEKSI!G22</f>
        <v>858.92012236800031</v>
      </c>
      <c r="H8" s="16">
        <f>PROYEKSI!H22</f>
        <v>908.89148528640044</v>
      </c>
      <c r="I8" s="12" t="s">
        <v>125</v>
      </c>
    </row>
    <row r="9" spans="2:9" x14ac:dyDescent="0.25">
      <c r="B9" s="4" t="s">
        <v>126</v>
      </c>
      <c r="D9" s="33">
        <f>1/(1+$C$7)^1</f>
        <v>0.89686098654708524</v>
      </c>
      <c r="E9" s="33">
        <f>1/(1+$C$7)^2</f>
        <v>0.80435962919021098</v>
      </c>
      <c r="F9" s="33">
        <f>1/(1+$C$7)^3</f>
        <v>0.72139877057418023</v>
      </c>
      <c r="G9" s="33">
        <f>1/(1+$C$7)^4</f>
        <v>0.64699441307101357</v>
      </c>
      <c r="H9" s="33">
        <f>1/(1+$C$7)^5</f>
        <v>0.58026404759732153</v>
      </c>
      <c r="I9" s="12" t="s">
        <v>127</v>
      </c>
    </row>
    <row r="10" spans="2:9" x14ac:dyDescent="0.25">
      <c r="B10" s="1" t="s">
        <v>128</v>
      </c>
      <c r="D10" s="15">
        <f>D8*D9</f>
        <v>550.44591928251123</v>
      </c>
      <c r="E10" s="15">
        <f>E8*E9</f>
        <v>568.53991835749787</v>
      </c>
      <c r="F10" s="15">
        <f>F8*F9</f>
        <v>575.69677358908609</v>
      </c>
      <c r="G10" s="15">
        <f>G8*G9</f>
        <v>555.71652044636755</v>
      </c>
      <c r="H10" s="15">
        <f>H8*H9</f>
        <v>527.39705207902807</v>
      </c>
      <c r="I10" s="12" t="s">
        <v>129</v>
      </c>
    </row>
    <row r="11" spans="2:9" x14ac:dyDescent="0.25">
      <c r="B11" s="17" t="s">
        <v>130</v>
      </c>
      <c r="C11" s="18">
        <f>SUM(D10:H10)</f>
        <v>2777.7961837544908</v>
      </c>
      <c r="I11" s="19" t="s">
        <v>131</v>
      </c>
    </row>
    <row r="13" spans="2:9" x14ac:dyDescent="0.25">
      <c r="B13" s="8" t="s">
        <v>132</v>
      </c>
      <c r="C13" s="9"/>
      <c r="D13" s="9"/>
      <c r="E13" s="9"/>
      <c r="F13" s="9"/>
      <c r="G13" s="9"/>
      <c r="H13" s="9"/>
      <c r="I13" s="9"/>
    </row>
    <row r="14" spans="2:9" ht="30" x14ac:dyDescent="0.25">
      <c r="B14" s="4" t="s">
        <v>133</v>
      </c>
      <c r="C14" s="15">
        <f>TERMINAL_VALUE!C32</f>
        <v>11758.783590892805</v>
      </c>
      <c r="I14" s="12" t="s">
        <v>134</v>
      </c>
    </row>
    <row r="15" spans="2:9" x14ac:dyDescent="0.25">
      <c r="B15" s="4" t="s">
        <v>135</v>
      </c>
      <c r="C15" s="33">
        <f>H9</f>
        <v>0.58026404759732153</v>
      </c>
      <c r="I15" s="12" t="s">
        <v>136</v>
      </c>
    </row>
    <row r="16" spans="2:9" x14ac:dyDescent="0.25">
      <c r="B16" s="17" t="s">
        <v>137</v>
      </c>
      <c r="C16" s="18">
        <f>C14*C15</f>
        <v>6823.1993612724254</v>
      </c>
      <c r="I16" s="19" t="s">
        <v>138</v>
      </c>
    </row>
    <row r="18" spans="2:9" x14ac:dyDescent="0.25">
      <c r="B18" s="28" t="s">
        <v>139</v>
      </c>
      <c r="C18" s="34"/>
      <c r="D18" s="34"/>
      <c r="E18" s="34"/>
      <c r="F18" s="34"/>
      <c r="G18" s="34"/>
      <c r="H18" s="34"/>
      <c r="I18" s="34"/>
    </row>
    <row r="19" spans="2:9" x14ac:dyDescent="0.25">
      <c r="B19" s="35" t="s">
        <v>140</v>
      </c>
      <c r="C19" s="29">
        <f>C11+C16</f>
        <v>9600.9955450269154</v>
      </c>
      <c r="I19" s="36" t="s">
        <v>141</v>
      </c>
    </row>
    <row r="21" spans="2:9" x14ac:dyDescent="0.25">
      <c r="B21" s="8" t="s">
        <v>142</v>
      </c>
      <c r="C21" s="9"/>
      <c r="D21" s="9"/>
      <c r="E21" s="9"/>
      <c r="F21" s="9"/>
      <c r="G21" s="9"/>
      <c r="H21" s="9"/>
      <c r="I21" s="9"/>
    </row>
    <row r="22" spans="2:9" x14ac:dyDescent="0.25">
      <c r="B22" s="1" t="s">
        <v>143</v>
      </c>
      <c r="C22" s="37">
        <f>C16/C19</f>
        <v>0.71067623448764938</v>
      </c>
      <c r="I22" s="12" t="s">
        <v>144</v>
      </c>
    </row>
    <row r="23" spans="2:9" x14ac:dyDescent="0.25">
      <c r="B23" s="1" t="s">
        <v>145</v>
      </c>
      <c r="C23" s="25" t="str">
        <f>IF(C22&gt;0.8,"PERINGATAN: TV &gt; 80% EV",IF(C22&gt;0.6,"Wajar (matang)","Sehat (&lt;60%)"))</f>
        <v>Wajar (matang)</v>
      </c>
    </row>
  </sheetData>
  <mergeCells count="2">
    <mergeCell ref="B3:I3"/>
    <mergeCell ref="B2:I2"/>
  </mergeCells>
  <conditionalFormatting sqref="C23">
    <cfRule type="expression" dxfId="7" priority="1">
      <formula>ISNUMBER(SEARCH("PERINGATAN",C23))</formula>
    </cfRule>
    <cfRule type="expression" dxfId="6" priority="2">
      <formula>ISNUMBER(SEARCH("Wajar",C23))</formula>
    </cfRule>
    <cfRule type="expression" dxfId="5" priority="3">
      <formula>ISNUMBER(SEARCH("Sehat",C23))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D26"/>
  <sheetViews>
    <sheetView showGridLines="0" workbookViewId="0"/>
  </sheetViews>
  <sheetFormatPr defaultRowHeight="15" x14ac:dyDescent="0.25"/>
  <cols>
    <col min="1" max="1" width="3" customWidth="1"/>
    <col min="2" max="2" width="38" customWidth="1"/>
    <col min="3" max="3" width="18" customWidth="1"/>
    <col min="4" max="4" width="50" customWidth="1"/>
  </cols>
  <sheetData>
    <row r="2" spans="2:4" ht="27.95" customHeight="1" x14ac:dyDescent="0.25">
      <c r="B2" s="53" t="s">
        <v>146</v>
      </c>
      <c r="C2" s="52"/>
      <c r="D2" s="52"/>
    </row>
    <row r="3" spans="2:4" x14ac:dyDescent="0.25">
      <c r="B3" s="54" t="s">
        <v>147</v>
      </c>
      <c r="C3" s="52"/>
      <c r="D3" s="52"/>
    </row>
    <row r="5" spans="2:4" x14ac:dyDescent="0.25">
      <c r="B5" s="6" t="s">
        <v>35</v>
      </c>
      <c r="C5" s="6" t="s">
        <v>148</v>
      </c>
      <c r="D5" s="6" t="s">
        <v>42</v>
      </c>
    </row>
    <row r="7" spans="2:4" x14ac:dyDescent="0.25">
      <c r="B7" s="1" t="s">
        <v>149</v>
      </c>
      <c r="C7" s="15">
        <f>DISKONTO!C19</f>
        <v>9600.9955450269154</v>
      </c>
      <c r="D7" s="12" t="s">
        <v>150</v>
      </c>
    </row>
    <row r="9" spans="2:4" x14ac:dyDescent="0.25">
      <c r="B9" s="8" t="s">
        <v>151</v>
      </c>
      <c r="C9" s="9"/>
      <c r="D9" s="9"/>
    </row>
    <row r="10" spans="2:4" x14ac:dyDescent="0.25">
      <c r="B10" s="4" t="s">
        <v>152</v>
      </c>
      <c r="C10" s="14">
        <v>-2200</v>
      </c>
      <c r="D10" s="12" t="s">
        <v>153</v>
      </c>
    </row>
    <row r="11" spans="2:4" x14ac:dyDescent="0.25">
      <c r="B11" s="4" t="s">
        <v>154</v>
      </c>
      <c r="C11" s="14">
        <v>600</v>
      </c>
      <c r="D11" s="12" t="s">
        <v>155</v>
      </c>
    </row>
    <row r="12" spans="2:4" x14ac:dyDescent="0.25">
      <c r="B12" s="4" t="s">
        <v>156</v>
      </c>
      <c r="C12" s="14">
        <v>0</v>
      </c>
      <c r="D12" s="12" t="s">
        <v>157</v>
      </c>
    </row>
    <row r="13" spans="2:4" x14ac:dyDescent="0.25">
      <c r="B13" s="4" t="s">
        <v>158</v>
      </c>
      <c r="C13" s="14">
        <v>0</v>
      </c>
      <c r="D13" s="12" t="s">
        <v>159</v>
      </c>
    </row>
    <row r="14" spans="2:4" x14ac:dyDescent="0.25">
      <c r="B14" s="1" t="s">
        <v>160</v>
      </c>
      <c r="C14" s="18">
        <f>-C10-C11-C12+C13</f>
        <v>1600</v>
      </c>
      <c r="D14" s="19" t="s">
        <v>161</v>
      </c>
    </row>
    <row r="16" spans="2:4" x14ac:dyDescent="0.25">
      <c r="B16" s="28" t="s">
        <v>162</v>
      </c>
      <c r="C16" s="34"/>
      <c r="D16" s="34"/>
    </row>
    <row r="17" spans="2:4" x14ac:dyDescent="0.25">
      <c r="B17" s="35" t="s">
        <v>163</v>
      </c>
      <c r="C17" s="29">
        <f>C7+C10+C11+C12-C13</f>
        <v>8000.9955450269154</v>
      </c>
      <c r="D17" s="36" t="s">
        <v>164</v>
      </c>
    </row>
    <row r="19" spans="2:4" x14ac:dyDescent="0.25">
      <c r="B19" s="8" t="s">
        <v>165</v>
      </c>
      <c r="C19" s="9"/>
      <c r="D19" s="9"/>
    </row>
    <row r="20" spans="2:4" x14ac:dyDescent="0.25">
      <c r="B20" s="4" t="s">
        <v>166</v>
      </c>
      <c r="C20" s="38">
        <v>2000</v>
      </c>
      <c r="D20" s="12" t="s">
        <v>167</v>
      </c>
    </row>
    <row r="21" spans="2:4" x14ac:dyDescent="0.25">
      <c r="B21" s="39" t="s">
        <v>168</v>
      </c>
      <c r="C21" s="40">
        <f>C17*1000/C20</f>
        <v>4000.4977725134577</v>
      </c>
      <c r="D21" s="19" t="s">
        <v>169</v>
      </c>
    </row>
    <row r="23" spans="2:4" x14ac:dyDescent="0.25">
      <c r="B23" s="8" t="s">
        <v>170</v>
      </c>
      <c r="C23" s="9"/>
      <c r="D23" s="9"/>
    </row>
    <row r="24" spans="2:4" x14ac:dyDescent="0.25">
      <c r="B24" s="4" t="s">
        <v>171</v>
      </c>
      <c r="C24" s="41">
        <v>3500</v>
      </c>
      <c r="D24" s="12" t="s">
        <v>172</v>
      </c>
    </row>
    <row r="25" spans="2:4" x14ac:dyDescent="0.25">
      <c r="B25" s="1" t="s">
        <v>173</v>
      </c>
      <c r="C25" s="37">
        <f>C21/C24-1</f>
        <v>0.14299936357527354</v>
      </c>
      <c r="D25" s="12" t="s">
        <v>174</v>
      </c>
    </row>
    <row r="26" spans="2:4" x14ac:dyDescent="0.25">
      <c r="B26" s="42" t="s">
        <v>175</v>
      </c>
      <c r="C26" s="25" t="str">
        <f>IF(C25&gt;0.2,"BELI (margin &gt; 20%)",IF(C25&gt;0,"Hold/Accumulate","MAHAL (overvalued)"))</f>
        <v>Hold/Accumulate</v>
      </c>
      <c r="D26" s="12" t="s">
        <v>176</v>
      </c>
    </row>
  </sheetData>
  <mergeCells count="2">
    <mergeCell ref="B3:D3"/>
    <mergeCell ref="B2:D2"/>
  </mergeCells>
  <conditionalFormatting sqref="C26">
    <cfRule type="expression" dxfId="4" priority="1">
      <formula>ISNUMBER(SEARCH("BELI",C26))</formula>
    </cfRule>
    <cfRule type="expression" dxfId="3" priority="2">
      <formula>ISNUMBER(SEARCH("MAHAL",C26))</formula>
    </cfRule>
    <cfRule type="expression" dxfId="2" priority="3">
      <formula>ISNUMBER(SEARCH("Hold",C26))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0"/>
  <sheetViews>
    <sheetView showGridLines="0" workbookViewId="0"/>
  </sheetViews>
  <sheetFormatPr defaultRowHeight="15" x14ac:dyDescent="0.25"/>
  <cols>
    <col min="1" max="1" width="3" customWidth="1"/>
    <col min="2" max="2" width="24" customWidth="1"/>
    <col min="3" max="8" width="13" customWidth="1"/>
    <col min="9" max="9" width="40" customWidth="1"/>
  </cols>
  <sheetData>
    <row r="2" spans="2:9" ht="27.95" customHeight="1" x14ac:dyDescent="0.25">
      <c r="B2" s="53" t="s">
        <v>177</v>
      </c>
      <c r="C2" s="52"/>
      <c r="D2" s="52"/>
      <c r="E2" s="52"/>
      <c r="F2" s="52"/>
      <c r="G2" s="52"/>
      <c r="H2" s="52"/>
      <c r="I2" s="52"/>
    </row>
    <row r="3" spans="2:9" x14ac:dyDescent="0.25">
      <c r="B3" s="54" t="s">
        <v>178</v>
      </c>
      <c r="C3" s="52"/>
      <c r="D3" s="52"/>
      <c r="E3" s="52"/>
      <c r="F3" s="52"/>
      <c r="G3" s="52"/>
      <c r="H3" s="52"/>
      <c r="I3" s="52"/>
    </row>
    <row r="5" spans="2:9" x14ac:dyDescent="0.25">
      <c r="B5" s="8" t="s">
        <v>179</v>
      </c>
      <c r="C5" s="9"/>
      <c r="D5" s="9"/>
      <c r="E5" s="9"/>
      <c r="F5" s="9"/>
      <c r="G5" s="9"/>
      <c r="H5" s="9"/>
      <c r="I5" s="9"/>
    </row>
    <row r="6" spans="2:9" ht="30" x14ac:dyDescent="0.25">
      <c r="B6" s="4" t="s">
        <v>180</v>
      </c>
      <c r="D6" s="16">
        <f>PROYEKSI!D22</f>
        <v>613.74720000000002</v>
      </c>
      <c r="E6" s="16">
        <f>PROYEKSI!E22</f>
        <v>706.82304000000022</v>
      </c>
      <c r="F6" s="16">
        <f>PROYEKSI!F22</f>
        <v>798.02849280000009</v>
      </c>
      <c r="G6" s="16">
        <f>PROYEKSI!G22</f>
        <v>858.92012236800031</v>
      </c>
      <c r="H6" s="16">
        <f>PROYEKSI!H22</f>
        <v>908.89148528640044</v>
      </c>
      <c r="I6" s="12" t="s">
        <v>181</v>
      </c>
    </row>
    <row r="7" spans="2:9" x14ac:dyDescent="0.25">
      <c r="B7" s="4" t="s">
        <v>101</v>
      </c>
      <c r="C7" s="16">
        <f>PROYEKSI!H23</f>
        <v>1433.5240550400006</v>
      </c>
      <c r="I7" s="12" t="s">
        <v>182</v>
      </c>
    </row>
    <row r="8" spans="2:9" x14ac:dyDescent="0.25">
      <c r="B8" s="4" t="s">
        <v>183</v>
      </c>
      <c r="C8" s="16">
        <f>PROYEKSI!H22</f>
        <v>908.89148528640044</v>
      </c>
      <c r="I8" s="12" t="s">
        <v>184</v>
      </c>
    </row>
    <row r="9" spans="2:9" ht="30" x14ac:dyDescent="0.25">
      <c r="B9" s="4" t="s">
        <v>185</v>
      </c>
      <c r="C9" s="16">
        <f>EV_BRIDGE!C14</f>
        <v>1600</v>
      </c>
      <c r="I9" s="12" t="s">
        <v>186</v>
      </c>
    </row>
    <row r="10" spans="2:9" x14ac:dyDescent="0.25">
      <c r="B10" s="4" t="s">
        <v>187</v>
      </c>
      <c r="C10" s="43">
        <f>EV_BRIDGE!C20</f>
        <v>2000</v>
      </c>
      <c r="I10" s="12" t="s">
        <v>188</v>
      </c>
    </row>
    <row r="11" spans="2:9" x14ac:dyDescent="0.25">
      <c r="B11" s="4" t="s">
        <v>189</v>
      </c>
      <c r="C11" s="44">
        <f>EV_BRIDGE!C24</f>
        <v>3500</v>
      </c>
      <c r="I11" s="12" t="s">
        <v>190</v>
      </c>
    </row>
    <row r="14" spans="2:9" x14ac:dyDescent="0.25">
      <c r="B14" s="6" t="s">
        <v>191</v>
      </c>
      <c r="C14" s="45">
        <v>0.02</v>
      </c>
      <c r="D14" s="45">
        <v>2.5000000000000001E-2</v>
      </c>
      <c r="E14" s="45">
        <v>0.03</v>
      </c>
      <c r="F14" s="45">
        <v>3.5000000000000003E-2</v>
      </c>
      <c r="G14" s="45">
        <v>0.04</v>
      </c>
      <c r="H14" s="45">
        <v>4.4999999999999998E-2</v>
      </c>
    </row>
    <row r="15" spans="2:9" x14ac:dyDescent="0.25">
      <c r="B15" s="46">
        <v>9.5000000000000001E-2</v>
      </c>
      <c r="C15" s="44">
        <f>(((D6/(1+$B15)^1 + E6/(1+$B15)^2 + F6/(1+$B15)^3 + G6/(1+$B15)^4 + H6/(1+$B15)^5)+(($C$8*(1+C$14)/($B15-C$14))/(1+$B15)^5))-$C$9)*1000/$C$10</f>
        <v>4592.3080810107649</v>
      </c>
      <c r="D15" s="44">
        <f>(((D6/(1+$B15)^1 + E6/(1+$B15)^2 + F6/(1+$B15)^3 + G6/(1+$B15)^4 + H6/(1+$B15)^5)+(($C$8*(1+D$14)/($B15-D$14))/(1+$B15)^5))-$C$9)*1000/$C$10</f>
        <v>4893.3564394542773</v>
      </c>
      <c r="E15" s="44">
        <f>(((D6/(1+$B15)^1 + E6/(1+$B15)^2 + F6/(1+$B15)^3 + G6/(1+$B15)^4 + H6/(1+$B15)^5)+(($C$8*(1+E$14)/($B15-E$14))/(1+$B15)^5))-$C$9)*1000/$C$10</f>
        <v>5240.7199299660278</v>
      </c>
      <c r="F15" s="44">
        <f>(((D6/(1+$B15)^1 + E6/(1+$B15)^2 + F6/(1+$B15)^3 + G6/(1+$B15)^4 + H6/(1+$B15)^5)+(($C$8*(1+F$14)/($B15-F$14))/(1+$B15)^5))-$C$9)*1000/$C$10</f>
        <v>5645.9773355630678</v>
      </c>
      <c r="G15" s="44">
        <f>(((D6/(1+$B15)^1 + E6/(1+$B15)^2 + F6/(1+$B15)^3 + G6/(1+$B15)^4 + H6/(1+$B15)^5)+(($C$8*(1+G$14)/($B15-G$14))/(1+$B15)^5))-$C$9)*1000/$C$10</f>
        <v>6124.9179058141144</v>
      </c>
      <c r="H15" s="44">
        <f>(((D6/(1+$B15)^1 + E6/(1+$B15)^2 + F6/(1+$B15)^3 + G6/(1+$B15)^4 + H6/(1+$B15)^5)+(($C$8*(1+H$14)/($B15-H$14))/(1+$B15)^5))-$C$9)*1000/$C$10</f>
        <v>6699.6465901153715</v>
      </c>
    </row>
    <row r="16" spans="2:9" x14ac:dyDescent="0.25">
      <c r="B16" s="46">
        <v>0.105</v>
      </c>
      <c r="C16" s="44">
        <f>(((D6/(1+$B16)^1 + E6/(1+$B16)^2 + F6/(1+$B16)^3 + G6/(1+$B16)^4 + H6/(1+$B16)^5)+(($C$8*(1+C$14)/($B16-C$14))/(1+$B16)^5))-$C$9)*1000/$C$10</f>
        <v>3936.9707998317544</v>
      </c>
      <c r="D16" s="44">
        <f>(((D6/(1+$B16)^1 + E6/(1+$B16)^2 + F6/(1+$B16)^3 + G6/(1+$B16)^4 + H6/(1+$B16)^5)+(($C$8*(1+D$14)/($B16-D$14))/(1+$B16)^5))-$C$9)*1000/$C$10</f>
        <v>4161.0977176364586</v>
      </c>
      <c r="E16" s="44">
        <f>(((D6/(1+$B16)^1 + E6/(1+$B16)^2 + F6/(1+$B16)^3 + G6/(1+$B16)^4 + H6/(1+$B16)^5)+(($C$8*(1+E$14)/($B16-E$14))/(1+$B16)^5))-$C$9)*1000/$C$10</f>
        <v>4415.1082244817899</v>
      </c>
      <c r="F16" s="44">
        <f>(((D6/(1+$B16)^1 + E6/(1+$B16)^2 + F6/(1+$B16)^3 + G6/(1+$B16)^4 + H6/(1+$B16)^5)+(($C$8*(1+F$14)/($B16-F$14))/(1+$B16)^5))-$C$9)*1000/$C$10</f>
        <v>4705.4059465907394</v>
      </c>
      <c r="G16" s="44">
        <f>(((D6/(1+$B16)^1 + E6/(1+$B16)^2 + F6/(1+$B16)^3 + G6/(1+$B16)^4 + H6/(1+$B16)^5)+(($C$8*(1+G$14)/($B16-G$14))/(1+$B16)^5))-$C$9)*1000/$C$10</f>
        <v>5040.364856716451</v>
      </c>
      <c r="H16" s="44">
        <f>(((D6/(1+$B16)^1 + E6/(1+$B16)^2 + F6/(1+$B16)^3 + G6/(1+$B16)^4 + H6/(1+$B16)^5)+(($C$8*(1+H$14)/($B16-H$14))/(1+$B16)^5))-$C$9)*1000/$C$10</f>
        <v>5431.150251863115</v>
      </c>
    </row>
    <row r="17" spans="2:9" x14ac:dyDescent="0.25">
      <c r="B17" s="46">
        <v>0.115</v>
      </c>
      <c r="C17" s="44">
        <f>(((D6/(1+$B17)^1 + E6/(1+$B17)^2 + F6/(1+$B17)^3 + G6/(1+$B17)^4 + H6/(1+$B17)^5)+(($C$8*(1+C$14)/($B17-C$14))/(1+$B17)^5))-$C$9)*1000/$C$10</f>
        <v>3420.1875293541334</v>
      </c>
      <c r="D17" s="44">
        <f>(((D6/(1+$B17)^1 + E6/(1+$B17)^2 + F6/(1+$B17)^3 + G6/(1+$B17)^4 + H6/(1+$B17)^5)+(($C$8*(1+D$14)/($B17-D$14))/(1+$B17)^5))-$C$9)*1000/$C$10</f>
        <v>3592.1313051050447</v>
      </c>
      <c r="E17" s="44">
        <f>(((D6/(1+$B17)^1 + E6/(1+$B17)^2 + F6/(1+$B17)^3 + G6/(1+$B17)^4 + H6/(1+$B17)^5)+(($C$8*(1+E$14)/($B17-E$14))/(1+$B17)^5))-$C$9)*1000/$C$10</f>
        <v>3784.3037603560624</v>
      </c>
      <c r="F17" s="47">
        <f>(((D6/(1+$B17)^1 + E6/(1+$B17)^2 + F6/(1+$B17)^3 + G6/(1+$B17)^4 + H6/(1+$B17)^5)+(($C$8*(1+F$14)/($B17-F$14))/(1+$B17)^5))-$C$9)*1000/$C$10</f>
        <v>4000.4977725134586</v>
      </c>
      <c r="G17" s="44">
        <f>(((D6/(1+$B17)^1 + E6/(1+$B17)^2 + F6/(1+$B17)^3 + G6/(1+$B17)^4 + H6/(1+$B17)^5)+(($C$8*(1+G$14)/($B17-G$14))/(1+$B17)^5))-$C$9)*1000/$C$10</f>
        <v>4245.5176529585069</v>
      </c>
      <c r="H17" s="44">
        <f>(((D6/(1+$B17)^1 + E6/(1+$B17)^2 + F6/(1+$B17)^3 + G6/(1+$B17)^4 + H6/(1+$B17)^5)+(($C$8*(1+H$14)/($B17-H$14))/(1+$B17)^5))-$C$9)*1000/$C$10</f>
        <v>4525.5403734671336</v>
      </c>
    </row>
    <row r="18" spans="2:9" x14ac:dyDescent="0.25">
      <c r="B18" s="46">
        <v>0.125</v>
      </c>
      <c r="C18" s="44">
        <f>(((D6/(1+$B18)^1 + E6/(1+$B18)^2 + F6/(1+$B18)^3 + G6/(1+$B18)^4 + H6/(1+$B18)^5)+(($C$8*(1+C$14)/($B18-C$14))/(1+$B18)^5))-$C$9)*1000/$C$10</f>
        <v>3002.3487624870468</v>
      </c>
      <c r="D18" s="44">
        <f>(((D6/(1+$B18)^1 + E6/(1+$B18)^2 + F6/(1+$B18)^3 + G6/(1+$B18)^4 + H6/(1+$B18)^5)+(($C$8*(1+D$14)/($B18-D$14))/(1+$B18)^5))-$C$9)*1000/$C$10</f>
        <v>3137.4479243356718</v>
      </c>
      <c r="E18" s="44">
        <f>(((D6/(1+$B18)^1 + E6/(1+$B18)^2 + F6/(1+$B18)^3 + G6/(1+$B18)^4 + H6/(1+$B18)^5)+(($C$8*(1+E$14)/($B18-E$14))/(1+$B18)^5))-$C$9)*1000/$C$10</f>
        <v>3286.7680505894159</v>
      </c>
      <c r="F18" s="44">
        <f>(((D6/(1+$B18)^1 + E6/(1+$B18)^2 + F6/(1+$B18)^3 + G6/(1+$B18)^4 + H6/(1+$B18)^5)+(($C$8*(1+F$14)/($B18-F$14))/(1+$B18)^5))-$C$9)*1000/$C$10</f>
        <v>3452.6793019824645</v>
      </c>
      <c r="G18" s="44">
        <f>(((D6/(1+$B18)^1 + E6/(1+$B18)^2 + F6/(1+$B18)^3 + G6/(1+$B18)^4 + H6/(1+$B18)^5)+(($C$8*(1+G$14)/($B18-G$14))/(1+$B18)^5))-$C$9)*1000/$C$10</f>
        <v>3638.109524127638</v>
      </c>
      <c r="H18" s="44">
        <f>(((D6/(1+$B18)^1 + E6/(1+$B18)^2 + F6/(1+$B18)^3 + G6/(1+$B18)^4 + H6/(1+$B18)^5)+(($C$8*(1+H$14)/($B18-H$14))/(1+$B18)^5))-$C$9)*1000/$C$10</f>
        <v>3846.7185240409563</v>
      </c>
    </row>
    <row r="19" spans="2:9" x14ac:dyDescent="0.25">
      <c r="B19" s="46">
        <v>0.13500000000000001</v>
      </c>
      <c r="C19" s="44">
        <f>(((D6/(1+$B19)^1 + E6/(1+$B19)^2 + F6/(1+$B19)^3 + G6/(1+$B19)^4 + H6/(1+$B19)^5)+(($C$8*(1+C$14)/($B19-C$14))/(1+$B19)^5))-$C$9)*1000/$C$10</f>
        <v>2657.6233006341654</v>
      </c>
      <c r="D19" s="44">
        <f>(((D6/(1+$B19)^1 + E6/(1+$B19)^2 + F6/(1+$B19)^3 + G6/(1+$B19)^4 + H6/(1+$B19)^5)+(($C$8*(1+D$14)/($B19-D$14))/(1+$B19)^5))-$C$9)*1000/$C$10</f>
        <v>2765.8608802019417</v>
      </c>
      <c r="E19" s="44">
        <f>(((D6/(1+$B19)^1 + E6/(1+$B19)^2 + F6/(1+$B19)^3 + G6/(1+$B19)^4 + H6/(1+$B19)^5)+(($C$8*(1+E$14)/($B19-E$14))/(1+$B19)^5))-$C$9)*1000/$C$10</f>
        <v>2884.4068006809352</v>
      </c>
      <c r="F19" s="44">
        <f>(((D6/(1+$B19)^1 + E6/(1+$B19)^2 + F6/(1+$B19)^3 + G6/(1+$B19)^4 + H6/(1+$B19)^5)+(($C$8*(1+F$14)/($B19-F$14))/(1+$B19)^5))-$C$9)*1000/$C$10</f>
        <v>3014.807313207828</v>
      </c>
      <c r="G19" s="44">
        <f>(((D6/(1+$B19)^1 + E6/(1+$B19)^2 + F6/(1+$B19)^3 + G6/(1+$B19)^4 + H6/(1+$B19)^5)+(($C$8*(1+G$14)/($B19-G$14))/(1+$B19)^5))-$C$9)*1000/$C$10</f>
        <v>3158.9341954743936</v>
      </c>
      <c r="H19" s="44">
        <f>(((D6/(1+$B19)^1 + E6/(1+$B19)^2 + F6/(1+$B19)^3 + G6/(1+$B19)^4 + H6/(1+$B19)^5)+(($C$8*(1+H$14)/($B19-H$14))/(1+$B19)^5))-$C$9)*1000/$C$10</f>
        <v>3319.0751757705775</v>
      </c>
    </row>
    <row r="21" spans="2:9" x14ac:dyDescent="0.25">
      <c r="B21" s="1" t="s">
        <v>192</v>
      </c>
    </row>
    <row r="22" spans="2:9" x14ac:dyDescent="0.25">
      <c r="B22" s="48" t="s">
        <v>193</v>
      </c>
    </row>
    <row r="23" spans="2:9" ht="30" x14ac:dyDescent="0.25">
      <c r="B23" s="49" t="s">
        <v>194</v>
      </c>
    </row>
    <row r="24" spans="2:9" ht="30" x14ac:dyDescent="0.25">
      <c r="B24" s="50" t="s">
        <v>195</v>
      </c>
    </row>
    <row r="26" spans="2:9" x14ac:dyDescent="0.25">
      <c r="B26" s="8" t="s">
        <v>196</v>
      </c>
      <c r="C26" s="9"/>
      <c r="D26" s="9"/>
      <c r="E26" s="9"/>
      <c r="F26" s="9"/>
      <c r="G26" s="9"/>
      <c r="H26" s="9"/>
      <c r="I26" s="9"/>
    </row>
    <row r="27" spans="2:9" x14ac:dyDescent="0.25">
      <c r="B27" s="51" t="s">
        <v>197</v>
      </c>
      <c r="C27" s="52"/>
      <c r="D27" s="52"/>
      <c r="E27" s="52"/>
      <c r="F27" s="52"/>
      <c r="G27" s="52"/>
      <c r="H27" s="52"/>
      <c r="I27" s="52"/>
    </row>
    <row r="28" spans="2:9" x14ac:dyDescent="0.25">
      <c r="B28" s="51" t="s">
        <v>198</v>
      </c>
      <c r="C28" s="52"/>
      <c r="D28" s="52"/>
      <c r="E28" s="52"/>
      <c r="F28" s="52"/>
      <c r="G28" s="52"/>
      <c r="H28" s="52"/>
      <c r="I28" s="52"/>
    </row>
    <row r="29" spans="2:9" x14ac:dyDescent="0.25">
      <c r="B29" s="51" t="s">
        <v>199</v>
      </c>
      <c r="C29" s="52"/>
      <c r="D29" s="52"/>
      <c r="E29" s="52"/>
      <c r="F29" s="52"/>
      <c r="G29" s="52"/>
      <c r="H29" s="52"/>
      <c r="I29" s="52"/>
    </row>
    <row r="30" spans="2:9" x14ac:dyDescent="0.25">
      <c r="B30" s="51" t="s">
        <v>200</v>
      </c>
      <c r="C30" s="52"/>
      <c r="D30" s="52"/>
      <c r="E30" s="52"/>
      <c r="F30" s="52"/>
      <c r="G30" s="52"/>
      <c r="H30" s="52"/>
      <c r="I30" s="52"/>
    </row>
  </sheetData>
  <mergeCells count="6">
    <mergeCell ref="B30:I30"/>
    <mergeCell ref="B29:I29"/>
    <mergeCell ref="B2:I2"/>
    <mergeCell ref="B28:I28"/>
    <mergeCell ref="B3:I3"/>
    <mergeCell ref="B27:I27"/>
  </mergeCells>
  <conditionalFormatting sqref="C15:H19">
    <cfRule type="cellIs" dxfId="1" priority="1" operator="greaterThan">
      <formula>$C$11</formula>
    </cfRule>
    <cfRule type="cellIs" dxfId="0" priority="2" operator="lessThan">
      <formula>$C$11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PETUNJUK</vt:lpstr>
      <vt:lpstr>PROYEKSI</vt:lpstr>
      <vt:lpstr>TERMINAL_VALUE</vt:lpstr>
      <vt:lpstr>DISKONTO</vt:lpstr>
      <vt:lpstr>EV_BRIDGE</vt:lpstr>
      <vt:lpstr>SENSITIVITAS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Nana Varian</cp:lastModifiedBy>
  <dcterms:created xsi:type="dcterms:W3CDTF">2026-07-18T16:02:46Z</dcterms:created>
  <dcterms:modified xsi:type="dcterms:W3CDTF">2026-07-18T16:02:52Z</dcterms:modified>
</cp:coreProperties>
</file>