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e00bf8c8dc2a59fb/Claude/Personal/atlas/05-Tech/stdsquare-hugo/static/excel/"/>
    </mc:Choice>
  </mc:AlternateContent>
  <xr:revisionPtr revIDLastSave="0" documentId="11_3E009AB1F0CEA08B698D7360C5A34D53A9A659EC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0_PETUNJUK" sheetId="1" r:id="rId1"/>
    <sheet name="1_PD_LOGIT" sheetId="2" r:id="rId2"/>
    <sheet name="2_LGD" sheetId="3" r:id="rId3"/>
    <sheet name="3_EAD" sheetId="4" r:id="rId4"/>
    <sheet name="4_EL_PORTOFOLIO" sheetId="5" r:id="rId5"/>
    <sheet name="5_BASEL_IRB" sheetId="6" r:id="rId6"/>
    <sheet name="6_RINGKASAN_CEK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C31" i="6" s="1"/>
  <c r="C32" i="6" s="1"/>
  <c r="C13" i="7" s="1"/>
  <c r="C20" i="6"/>
  <c r="C16" i="6"/>
  <c r="C15" i="6"/>
  <c r="C17" i="6" s="1"/>
  <c r="C18" i="6" s="1"/>
  <c r="E20" i="5"/>
  <c r="C13" i="5"/>
  <c r="C9" i="7" s="1"/>
  <c r="I12" i="5"/>
  <c r="G12" i="5"/>
  <c r="F12" i="5"/>
  <c r="I11" i="5"/>
  <c r="G11" i="5"/>
  <c r="J11" i="5" s="1"/>
  <c r="F11" i="5"/>
  <c r="I10" i="5"/>
  <c r="H10" i="5"/>
  <c r="G10" i="5"/>
  <c r="F10" i="5"/>
  <c r="I9" i="5"/>
  <c r="G9" i="5"/>
  <c r="H9" i="5" s="1"/>
  <c r="F9" i="5"/>
  <c r="I8" i="5"/>
  <c r="G8" i="5"/>
  <c r="J8" i="5" s="1"/>
  <c r="F8" i="5"/>
  <c r="I7" i="5"/>
  <c r="G7" i="5"/>
  <c r="H7" i="5" s="1"/>
  <c r="F7" i="5"/>
  <c r="F13" i="5" s="1"/>
  <c r="I6" i="5"/>
  <c r="J6" i="5" s="1"/>
  <c r="H6" i="5"/>
  <c r="G6" i="5"/>
  <c r="F6" i="5"/>
  <c r="F12" i="4"/>
  <c r="G12" i="4" s="1"/>
  <c r="F11" i="4"/>
  <c r="G11" i="4" s="1"/>
  <c r="F10" i="4"/>
  <c r="G10" i="4" s="1"/>
  <c r="F9" i="4"/>
  <c r="G9" i="4" s="1"/>
  <c r="F8" i="4"/>
  <c r="G8" i="4" s="1"/>
  <c r="C18" i="3"/>
  <c r="C14" i="3"/>
  <c r="C15" i="3" s="1"/>
  <c r="C16" i="3" s="1"/>
  <c r="C17" i="3" s="1"/>
  <c r="C19" i="3" s="1"/>
  <c r="C20" i="3" s="1"/>
  <c r="C34" i="2"/>
  <c r="C35" i="2" s="1"/>
  <c r="C36" i="2" s="1"/>
  <c r="C19" i="2"/>
  <c r="C20" i="2" s="1"/>
  <c r="I13" i="5" l="1"/>
  <c r="E18" i="5" s="1"/>
  <c r="G13" i="5"/>
  <c r="C22" i="7" s="1"/>
  <c r="J9" i="5"/>
  <c r="J12" i="5"/>
  <c r="H8" i="5"/>
  <c r="J10" i="5"/>
  <c r="G13" i="4"/>
  <c r="C19" i="7"/>
  <c r="C8" i="7"/>
  <c r="C41" i="2"/>
  <c r="C7" i="7"/>
  <c r="C24" i="7"/>
  <c r="C6" i="7"/>
  <c r="C20" i="7"/>
  <c r="C18" i="7"/>
  <c r="C42" i="2"/>
  <c r="C43" i="2"/>
  <c r="C40" i="2"/>
  <c r="C23" i="7"/>
  <c r="C19" i="6"/>
  <c r="C12" i="7"/>
  <c r="C21" i="6"/>
  <c r="E17" i="5"/>
  <c r="J7" i="5"/>
  <c r="C11" i="7"/>
  <c r="H13" i="5"/>
  <c r="E19" i="5"/>
  <c r="H11" i="5"/>
  <c r="C10" i="7"/>
  <c r="H12" i="5"/>
  <c r="C21" i="7"/>
</calcChain>
</file>

<file path=xl/sharedStrings.xml><?xml version="1.0" encoding="utf-8"?>
<sst xmlns="http://schemas.openxmlformats.org/spreadsheetml/2006/main" count="344" uniqueCount="316">
  <si>
    <t>RISIKO KREDIT — PD x LGD x EAD = EXPECTED LOSS</t>
  </si>
  <si>
    <t>PT Bank Nusantara Mikra · Portofolio KUR Multi-Segmen · Per 31 Desember 2025 (Rp juta)</t>
  </si>
  <si>
    <t>PAKAI CARA INI:</t>
  </si>
  <si>
    <t>1. PD_LOGIT</t>
  </si>
  <si>
    <t>Estimasi PD (Probability of Default). Dua pendekatan: (a) logistic regression (log-odds -&gt; sigmoid -&gt; PD) dan (b) Merton structural (Distance to Default DD -&gt; N(-DD) -&gt; PD).</t>
  </si>
  <si>
    <t>2. LGD</t>
  </si>
  <si>
    <t>LGD (Loss Given Default) = 1 - Recovery Rate. Recovery dari nilai agunan x hair-cut + recovery unsecured. Input: nilai agunan, hair-cut, biaya recovery.</t>
  </si>
  <si>
    <t>3. EAD</t>
  </si>
  <si>
    <t>EAD (Exposure at Default) = Drawn + (Undrawn x CCF). Untuk kredit revolver/working capital; KUR term loan -&gt; CCF = 0% (drawn penuh).</t>
  </si>
  <si>
    <t>4. EL_PORTOFOLIO</t>
  </si>
  <si>
    <t>Kalkulator utama: 6 segmen grade (AAA..E) x PD x LGD x EAD = Expected Loss. Plus Unexpected Loss (UL) dan RAROC.</t>
  </si>
  <si>
    <t>5. BASEL_IRB</t>
  </si>
  <si>
    <t>Risk-weight Basel III IRB: corporate (F-IRB) &amp; retail. RWA = f(PD,LGD,EAD,M). Bandingkan dengan standardized.</t>
  </si>
  <si>
    <t>6. RINGKASAN_CEK</t>
  </si>
  <si>
    <t>Total EL, rasio EL/EAD, bobot risiko rata-rata, tujuh uji konsistensi.</t>
  </si>
  <si>
    <t>LEGENDA WARNA:</t>
  </si>
  <si>
    <t>Input manual</t>
  </si>
  <si>
    <t>Sel biru = Anda ubah. Contoh: koefisien logit, nilai agunan, drawn, CCF, PD per grade.</t>
  </si>
  <si>
    <t>Formula hidup</t>
  </si>
  <si>
    <t>Sel hitam = dihitung otomatis. Jangan diketik ulang.</t>
  </si>
  <si>
    <t>Risiko rendah / sedang / tinggi</t>
  </si>
  <si>
    <t>Biru muda = grade rendah-risiko (AAA..BBB). Oranye = watch (BB..CCC). Merah muda = tinggi-risiko (D, E).</t>
  </si>
  <si>
    <t>Header / total</t>
  </si>
  <si>
    <t>Sel hijau band = sub-judul; sel kuning = total penting (EL, RWA, capital).</t>
  </si>
  <si>
    <t>ANGKA KUNCI (default, muncul di RINGKASAN_CEK):</t>
  </si>
  <si>
    <t>• PD (logistic) debitur KUR berisiko menengah: ~4,97% (log-odds z = -2,943)</t>
  </si>
  <si>
    <t>• PD (Merton DD = 1,637): ~5,07% — dua pendekatan konvergen (selisih &lt;0,2%)</t>
  </si>
  <si>
    <t>• LGD agunan SHM (recovery 67% setelah hair-cut 20% + biaya 5%): 33,0%</t>
  </si>
  <si>
    <t>• EAD term loan Rp 500jt = Rp 500jt (CCF 0%); EAD line Rp 500jt (drawn 300 + undrawn 200 x CCF 50%) = Rp 400jt</t>
  </si>
  <si>
    <t>• Total EL portofolio 7 segmen KUR: Rp 29,4 juta (~2,9% dari total EAD Rp 1.000 juta); UL Rp 47,1 juta</t>
  </si>
  <si>
    <t>• RWA Basel F-IRB korporasi (PD 2%): Rp 426 jt vs Standardized Rp 500 jt (hemat modal 14,9%)</t>
  </si>
  <si>
    <t>• RWA retail IRB (PD 5%, LGD 45%): Rp 332 jt vs Standardized 75% (Rp 375 jt)</t>
  </si>
  <si>
    <t>• Formula inti: EL = PD x LGD x EAD   |   UL = EAD x V x sqrt(LGD^2 x PD + PD x (1-2PD) x (1-PD))</t>
  </si>
  <si>
    <t>Referensi: Basel III IRB (BCBS 128 revisi; POJK 12/SEOJK 16 — Penerapan Manajemen Risiko Kredit). PSAK 71/IFRS 9 untuk ECL.</t>
  </si>
  <si>
    <t>PROBABILITY OF DEFAULT (PD) — LOGISTIC REGRESSION + MERTON</t>
  </si>
  <si>
    <t>Dua pendekatan kuantitatif PD: (A) logistic regression approach; (B) Merton structural (distance-to-default).</t>
  </si>
  <si>
    <t>A. LOGISTIC REGRESSION — log-odds -&gt; sigmoid -&gt; PD</t>
  </si>
  <si>
    <t>Model: logit(PD) = beta0 + beta1 x X1 + beta2 x X2 + ...   |   PD = 1 / (1 + exp(-logit))</t>
  </si>
  <si>
    <t>Parameter (Input biru)</t>
  </si>
  <si>
    <t>Nilai</t>
  </si>
  <si>
    <t>Catatan</t>
  </si>
  <si>
    <t>intercept_beta0</t>
  </si>
  <si>
    <t>beta0 — intercept (log-odds dasar). Negatif = default jarang.</t>
  </si>
  <si>
    <t>debt_equity</t>
  </si>
  <si>
    <t>X1 = rasio Debt/Equity debitur (mis. 0,45).</t>
  </si>
  <si>
    <t>coef_beta1</t>
  </si>
  <si>
    <t>beta1 — koefisien D/E. Positif: leverage naik -&gt; PD naik.</t>
  </si>
  <si>
    <t>current_ratio</t>
  </si>
  <si>
    <t>X2 = current ratio (lancar/lancar).</t>
  </si>
  <si>
    <t>coef_beta2</t>
  </si>
  <si>
    <t>beta2 — koefisien current ratio. Negatif: likuiditas naik -&gt; PD turun.</t>
  </si>
  <si>
    <t>dpd_hist</t>
  </si>
  <si>
    <t>X3 = rata-rata DPD 12 bulan terakhir (hari).</t>
  </si>
  <si>
    <t>coef_beta3</t>
  </si>
  <si>
    <t>beta3 — koefisien DPD historis. Positif: sering telat -&gt; PD naik.</t>
  </si>
  <si>
    <t>logit (z) = beta0 + beta1 x D/E + beta2 x CR + beta3 x DPD</t>
  </si>
  <si>
    <t>log-odds (z)</t>
  </si>
  <si>
    <t>'= -3,00 + 1,80(0,45) - 0,90(1,20) + 0,03(10,9) = -2,943</t>
  </si>
  <si>
    <t>PD (logistic) = 1 / (1 + exp(-z))</t>
  </si>
  <si>
    <t>'= sigmoid(-2,943) -&gt; ~4,97% (probabilitas default 1 tahun)</t>
  </si>
  <si>
    <t>B. MERTON STRUCTURAL — Distance to Default (DD) -&gt; PD</t>
  </si>
  <si>
    <t>Model Merton (1974): ekuitas = call option atas aset; default bila aset jatuh di bawah barrier D.</t>
  </si>
  <si>
    <t>Parameter</t>
  </si>
  <si>
    <t>asset_value_V</t>
  </si>
  <si>
    <t>V = nilai pasar aset debitur (Rp jt). Estimasi: ekuitas pasar + utang.</t>
  </si>
  <si>
    <t>default_point_K</t>
  </si>
  <si>
    <t>K = titik default = utang jangka pendek + 50% jangka panjang (Rp jt).</t>
  </si>
  <si>
    <t>drift_mu</t>
  </si>
  <si>
    <t>mu = expected drift aset tahunan (growth).</t>
  </si>
  <si>
    <t>vol_sigma</t>
  </si>
  <si>
    <t>sigma = volatilitas aset tahunan (dari equity vol + leverage).</t>
  </si>
  <si>
    <t>horizon_T</t>
  </si>
  <si>
    <t>T = horizon (tahun). Default 1 tahun.</t>
  </si>
  <si>
    <t>d1 = [ln(V/K) + (mu - 0,5 sigma^2) x T] / (sigma x sqrt(T))</t>
  </si>
  <si>
    <t>d1 (numerator + adj)</t>
  </si>
  <si>
    <t>Menggabungkan satu langkah untuk DD; ekuivalen d2 Merton.</t>
  </si>
  <si>
    <t>Distance to Default (DD) = d1</t>
  </si>
  <si>
    <t>DD &gt; 3 = sangat aman; DD 1,5-3 = watch; DD &lt; 1,5 = bahaya.</t>
  </si>
  <si>
    <t>PD (Merton) = N(-DD)  [N = distribusi normal kumulatif]</t>
  </si>
  <si>
    <t>Probabilitas aset jatuh di bawah K dalam T tahun. ~5,07% untuk DD = 1,637.</t>
  </si>
  <si>
    <t>C. KONVERGENSI DUA PENDEKATAN</t>
  </si>
  <si>
    <t>PD (logistic)</t>
  </si>
  <si>
    <t>Pendekatan reduced-form (faktor finansial + behavioral).</t>
  </si>
  <si>
    <t>PD (Merton)</t>
  </si>
  <si>
    <t>Pendekatan structural (struktur modal + volatilitas).</t>
  </si>
  <si>
    <t>Selisih absolut</t>
  </si>
  <si>
    <t>Convergen (&lt;1%) = keyakinan tinggi; divergen = perlu kalibrasi.</t>
  </si>
  <si>
    <t>Status konvergensi</t>
  </si>
  <si>
    <t>Bank besar menjalankan keduanya; PD final = bobot (mis. 60% logit / 40% Merton).</t>
  </si>
  <si>
    <t>LOSS GIVEN DEFAULT (LGD) — RECOVERY DARI AGUNAN</t>
  </si>
  <si>
    <t>LGD = 1 - Recovery Rate. Recovery = (Agunan x (1 - hair-cut) + unsecured recovery) - biaya.</t>
  </si>
  <si>
    <t>A. KASUS KUR TERMLOAN Rp 500jt — AGUNAN SHM</t>
  </si>
  <si>
    <t>Formula / Sumber</t>
  </si>
  <si>
    <t>ead_total</t>
  </si>
  <si>
    <t>EAD saat default (Rp jt)</t>
  </si>
  <si>
    <t>'= Outstanding pokok + bunga akrual.</t>
  </si>
  <si>
    <t>collateral_shm</t>
  </si>
  <si>
    <t>Nilai taksasi SHM (Rp jt)</t>
  </si>
  <si>
    <t>Taksasi bank; bukan NJOP, bukan nilai pasar tertinggi.</t>
  </si>
  <si>
    <t>haircut</t>
  </si>
  <si>
    <t>Hair-cut likuidasi paksa</t>
  </si>
  <si>
    <t>Diskon lelang terpaksa 20-40%; OJK arahan konservatif.</t>
  </si>
  <si>
    <t>recovery_cost</t>
  </si>
  <si>
    <t>Biaya recovery (% EAD)</t>
  </si>
  <si>
    <t>Biaya hukum, lelang, waktu (1-3 thn di pengadilan negeri).</t>
  </si>
  <si>
    <t>unsecured_rec</t>
  </si>
  <si>
    <t>Recovery unsecured (% sisa)</t>
  </si>
  <si>
    <t>Setelah agunan habis; sisa utang masuk klaim insolvensi.</t>
  </si>
  <si>
    <t>Recovery dari agunan = SHM x (1 - hair-cut)</t>
  </si>
  <si>
    <t>450 x (1 - 0,20) = Rp 360 jt dapat direalisasi.</t>
  </si>
  <si>
    <t>Asumsi lelang berjalan; waktu diskonto implisit.</t>
  </si>
  <si>
    <t>Sisa EAD setelah agunan</t>
  </si>
  <si>
    <t>'= MAX(500 - 360, 0) = Rp 140 jt tertutup unsecured.</t>
  </si>
  <si>
    <t>Bila negatif -&gt; agunan menutup penuh, recovery cap = EAD.</t>
  </si>
  <si>
    <t>Recovery unsecured = sisa x % recovery</t>
  </si>
  <si>
    <t>Default 0% (UMKM insolvensi jarang membayar sisa).</t>
  </si>
  <si>
    <t>Korporasi: 5-20% dari klaim insolvensi.</t>
  </si>
  <si>
    <t>Total Recovery (Rp jt)</t>
  </si>
  <si>
    <t>Bruto sebelum biaya.</t>
  </si>
  <si>
    <t>Biaya recovery = EAD x 5%</t>
  </si>
  <si>
    <t>Lelang, pengacara, waktu staf recovery.</t>
  </si>
  <si>
    <t>Sering under-estimated; untuk KUR sering 8-12%.</t>
  </si>
  <si>
    <t>Recovery Rate (net)</t>
  </si>
  <si>
    <t>'= (360 - 25) / 500 = 67,0% recovery.</t>
  </si>
  <si>
    <t>LGD final = 1 - ini.</t>
  </si>
  <si>
    <t>LGD (final)</t>
  </si>
  <si>
    <t>'= 1 - 0,670 = 33,0%. Dibulatkan ke LGD grade 35-40%.</t>
  </si>
  <si>
    <t>Basel floor LGD retail secured 25-35%.</t>
  </si>
  <si>
    <t>B. LGD DOWNTURN (BASEL III) — PENDEKATAN KONSERVATIF</t>
  </si>
  <si>
    <t>Basel III IRB mensyaratkan LGD memperhitungkan kondisi ekonomi terburuk (downturn LGD). Hair-cut lemak krisis 2008: 40-60%.</t>
  </si>
  <si>
    <t>Hair-cut naik dari 20% -&gt; 35% saat resesi. Re-run dengan hair-cut 0,35 di sel input: LGD bergerak dari 33% -&gt; ~47%.</t>
  </si>
  <si>
    <t>OJK POJK 17: bank memakai MAX(LGD long-run, LGD downturn) untuk perhitungan RWA IRB.</t>
  </si>
  <si>
    <t>Untuk KUR bersubsidi, pemerintah menanggung 70% risiko klaim (penjaminan); LGD efektif bank = LGD x (1 - 70%) -&gt; jauh lebih rendah.</t>
  </si>
  <si>
    <t>EXPOSURE AT DEFAULT (EAD) — DRAWN + UNDRAWN x CCF</t>
  </si>
  <si>
    <t>EAD = Drawn + (Undrawn x CCF). Term loan CCF ~0%; revolver / working capital CCF 40-75%.</t>
  </si>
  <si>
    <t>A. KALKULATOR EAD PER FASILITAS</t>
  </si>
  <si>
    <t>Fasilitas</t>
  </si>
  <si>
    <t>Limit
(Rp jt)</t>
  </si>
  <si>
    <t>Drawn
(Rp jt)</t>
  </si>
  <si>
    <t>CCF
(undrawn)</t>
  </si>
  <si>
    <t>Undrawn
(Rp jt)</t>
  </si>
  <si>
    <t>EAD
(Rp jt)</t>
  </si>
  <si>
    <t>KUR Term Loan (UMKM)</t>
  </si>
  <si>
    <t>Drawn penuh di hari-1; tidak ada undrawn. CCF 0%.</t>
  </si>
  <si>
    <t>Working Capital Line</t>
  </si>
  <si>
    <t>Line revolver; CCF OJK retail 40-75%.</t>
  </si>
  <si>
    <t>Credit Card Korporat</t>
  </si>
  <si>
    <t>Kartu kredit: CCF tinggi (75-90%).</t>
  </si>
  <si>
    <t>Bank Guarantee SBLC</t>
  </si>
  <si>
    <t>Off-balance; CCF rendah (5-15%) jika tidak terpicu.</t>
  </si>
  <si>
    <t>Irrevocable Commitment</t>
  </si>
  <si>
    <t>Commitment fee; nasabah sering draw saat stress.</t>
  </si>
  <si>
    <t>TOTAL EAD PORTOFOLIO</t>
  </si>
  <si>
    <t>'= SUM(EAD semua fasilitas)</t>
  </si>
  <si>
    <t>B. PEDOMAN CCF (CREDIT CONVERSION FACTOR) — BASEL III STANDARDISASI</t>
  </si>
  <si>
    <t>Jenis Fasilitas</t>
  </si>
  <si>
    <t>CCF Standar</t>
  </si>
  <si>
    <t>Direct credit substitute (guarantee, SBLC)</t>
  </si>
  <si>
    <t>Basel: full conversion; setara exposure penuh.</t>
  </si>
  <si>
    <t>Trade-related contingents (L/C dokumenter)</t>
  </si>
  <si>
    <t>Risiko dagang; eksekusi jarang.</t>
  </si>
  <si>
    <t>Performance-related guarantees</t>
  </si>
  <si>
    <t>Bank guarantee tender / performance bond.</t>
  </si>
  <si>
    <t>Commitments &gt; 1 tahun (revolver)</t>
  </si>
  <si>
    <t>OJK retail: 40-75% tergantung produk.</t>
  </si>
  <si>
    <t>Commitments &lt; 1 tahun</t>
  </si>
  <si>
    <t>Tenor pendek; risiko drawdown lebih rendah.</t>
  </si>
  <si>
    <t>Unconditionally cancellable</t>
  </si>
  <si>
    <t>Bank dapat batalkan tanpa syarat.</t>
  </si>
  <si>
    <t>EXPECTED LOSS PORTOFOLIO KUR — 6 SEGMEN GRADE</t>
  </si>
  <si>
    <t>EL = PD x LGD x EAD. Plus Unexpected Loss (UL), RAROC, dan konsentrasi. Semua formula hidup.</t>
  </si>
  <si>
    <t>Grade</t>
  </si>
  <si>
    <t>PD
(annual)</t>
  </si>
  <si>
    <t>LGD</t>
  </si>
  <si>
    <t>EAD x PD
(Rp jt)</t>
  </si>
  <si>
    <t>EL
(Rp jt)</t>
  </si>
  <si>
    <t>EL / EAD
(bps)</t>
  </si>
  <si>
    <t>UL
(Rp jt)</t>
  </si>
  <si>
    <t>RAROC
(bef tax)</t>
  </si>
  <si>
    <t>V
(asset)</t>
  </si>
  <si>
    <t>AAA</t>
  </si>
  <si>
    <t>Blue-chip UMKM; agunan kuat; SLIK 1</t>
  </si>
  <si>
    <t>AA</t>
  </si>
  <si>
    <t>UMKM mapan; agunan SHM</t>
  </si>
  <si>
    <t>A</t>
  </si>
  <si>
    <t>UMKM menengah; agunan campuran</t>
  </si>
  <si>
    <t>BBB</t>
  </si>
  <si>
    <t>UMKM tumbuh; watch list</t>
  </si>
  <si>
    <t>BB</t>
  </si>
  <si>
    <t>UMKM berisiko; DPD 30-60</t>
  </si>
  <si>
    <t>B/CCC</t>
  </si>
  <si>
    <t>Substandard; restrukturisasi</t>
  </si>
  <si>
    <t>D/E</t>
  </si>
  <si>
    <t>Doubtful/loss; &gt;90 DPD</t>
  </si>
  <si>
    <t>TOTAL PORTOFOLIO</t>
  </si>
  <si>
    <t>Total EAD, EL, UL portofolio</t>
  </si>
  <si>
    <t>RINGKASAN RASIO</t>
  </si>
  <si>
    <t>EL / EAD portofolio</t>
  </si>
  <si>
    <t>Rasio EL terhadap exposure. &lt;1% = sehat; &gt;2% = watch.</t>
  </si>
  <si>
    <t>UL / EAD portofolio</t>
  </si>
  <si>
    <t>Unexpected loss (volatilitas kerugian).</t>
  </si>
  <si>
    <t>Rasio EL / UL</t>
  </si>
  <si>
    <t>Expected / Unexpected. Biasanya 0,1-0,3.</t>
  </si>
  <si>
    <t>EAD tertinggi pada grade</t>
  </si>
  <si>
    <t>Grade dengan eksposur terbesar (konsentrasi).</t>
  </si>
  <si>
    <t>RUMUS INTI</t>
  </si>
  <si>
    <t>Expected Loss (EL) = PD x LGD x EAD   -&gt; kerugian rata-rata yang diharapkan.</t>
  </si>
  <si>
    <t>Unexpected Loss (UL) = EAD x V x sqrt[ LGD^2 x PD + PD x (1 - 2 PD) x (1 - PD) ]   -&gt; dispersi kerugian (Gordy 2003).</t>
  </si>
  <si>
    <t>RAROC = (Revenue - EL - Operating cost) / Economic Capital. Economic Capital ~ UL x k (k = multiplier confidence).</t>
  </si>
  <si>
    <t>Capital Requirement (Basel IRB) ~ 8% x RWA; RWA lihat sheet BASEL_IRB.</t>
  </si>
  <si>
    <t>Batas konsentrasi: exposure satu debitur &lt; 25% modal (KMST); segmen &lt; 300% modal (OJK).</t>
  </si>
  <si>
    <t>BASEL III IRB — RISK-WEIGHTED ASSETS (RWA)</t>
  </si>
  <si>
    <t>Fungsi Basel (corporate + retail). RWA = EAD x K x 12,5. K = capital ratio per unit exposure.</t>
  </si>
  <si>
    <t>A. CORPORATE F-IRB — FUNGSI K (BCBS 128, paragraf 274)</t>
  </si>
  <si>
    <t>PD</t>
  </si>
  <si>
    <t>Probability of Default (1 tahun). Sumber: rating internal / logit / Merton.</t>
  </si>
  <si>
    <t>Loss Given Default (downturn untuk IRB).</t>
  </si>
  <si>
    <t>EAD</t>
  </si>
  <si>
    <t>Exposure at Default (Rp jt).</t>
  </si>
  <si>
    <t>M</t>
  </si>
  <si>
    <t>Maturity (tahun). Corporate default 2,5; retail = 1.</t>
  </si>
  <si>
    <t>R_corp</t>
  </si>
  <si>
    <t>(formula)</t>
  </si>
  <si>
    <t>Korelasi (formula bawah) - corporate.</t>
  </si>
  <si>
    <t>b_M</t>
  </si>
  <si>
    <t>Maturity adjustment - corporate.</t>
  </si>
  <si>
    <t>Korelasi R (asset)</t>
  </si>
  <si>
    <t>R antara 0,12 (PD tinggi) dan 0,24 (PD rendah). Asset value correlation.</t>
  </si>
  <si>
    <t>b(PD) maturity adj</t>
  </si>
  <si>
    <t>Lebih besar untuk PD rendah; maturity lebih penting bila risiko kecil.</t>
  </si>
  <si>
    <t>K (capital ratio)</t>
  </si>
  <si>
    <t>Capital per Rp1 exposure pada confidence 99,9%. K = UL + EL (LGD x PD).</t>
  </si>
  <si>
    <t>RWA (Rp jt)</t>
  </si>
  <si>
    <t>12,5 = kebalikan 8% capital ratio minimum.</t>
  </si>
  <si>
    <t>Capital requirement (8%)</t>
  </si>
  <si>
    <t>Tier 1 + Tier 2 untuk mendukung eksposur ini.</t>
  </si>
  <si>
    <t>RWA Standardized (100% retail/corp)</t>
  </si>
  <si>
    <t>Asumsi bobot 100% (retail UMKM / korporasi unsecured).</t>
  </si>
  <si>
    <t>Hemat RWA via IRB (%)</t>
  </si>
  <si>
    <t>IRB menghemat modal untuk grade rendah-risiko; jelek untuk grade tinggi-risiko.</t>
  </si>
  <si>
    <t>B. RETAIL IRB — KUR UMKM (BCBS 128, paragraf 326)</t>
  </si>
  <si>
    <t>PD_retail</t>
  </si>
  <si>
    <t>PD retail (1 tahun). KUR umumnya 3-8%.</t>
  </si>
  <si>
    <t>LGD_retail</t>
  </si>
  <si>
    <t>LGD retail secured/unsecured blended.</t>
  </si>
  <si>
    <t>EAD_retail</t>
  </si>
  <si>
    <t>EAD (Rp jt).</t>
  </si>
  <si>
    <t>Korelasi R retail</t>
  </si>
  <si>
    <t>R retail lebih rendah (diversifikasi portofolio kecil-kecil).</t>
  </si>
  <si>
    <t>K retail (capital ratio)</t>
  </si>
  <si>
    <t>Tanpa maturity adjustment (M=1 implisit untuk retail).</t>
  </si>
  <si>
    <t>RWA retail (Rp jt)</t>
  </si>
  <si>
    <t>Perbandingan: retail standardized 75%; IRB sering lebih rendah.</t>
  </si>
  <si>
    <t>CATATAN BASEL III IRB</t>
  </si>
  <si>
    <t>F-IRB (Foundation): bank estimasi PD; LGD &amp; EAD pakai standar regulator. Lebih mudah diadopsi.</t>
  </si>
  <si>
    <t>A-IRB (Advanced): bank estimasi PD, LGD, EAD sendiri. Validasi OJK ketat; untuk bank besar.</t>
  </si>
  <si>
    <t>Output floor (Basel III finalisasi 2017): RWA IRB tidak boleh &lt; 72,5% standardized. Mulai berlaku bertahap.</t>
  </si>
  <si>
    <t>POJK 12/2014 (revisi) &amp; SEOJK 16 mengatur penerapan IRB di Indonesia. Bank pelapor IRB: BRI, Mandiri, BNI, BCA, CIMB.</t>
  </si>
  <si>
    <t>Capital buffer: Tier 1 minimum 6% + capital conservation buffer 2,5% + countercyclical (0-2,5%) + surcharge SIB.</t>
  </si>
  <si>
    <t>RINGKASAN RISIKO KREDIT + CEK KONSISTENSI</t>
  </si>
  <si>
    <t>Konsolidasi PD, LGD, EAD, EL, RWA + tujuh uji konsistensi.</t>
  </si>
  <si>
    <t>Metrik</t>
  </si>
  <si>
    <t>Format</t>
  </si>
  <si>
    <t>Sumber</t>
  </si>
  <si>
    <t>PD (logistic regression)</t>
  </si>
  <si>
    <t>0.000%</t>
  </si>
  <si>
    <t>1_PD_LOGIT</t>
  </si>
  <si>
    <t>Pendekatan reduced-form.</t>
  </si>
  <si>
    <t>PD (Merton structural)</t>
  </si>
  <si>
    <t>Pendekatan structural.</t>
  </si>
  <si>
    <t>LGD demo (agunan SHM)</t>
  </si>
  <si>
    <t>0.00%</t>
  </si>
  <si>
    <t>2_LGD</t>
  </si>
  <si>
    <t>Term loan Rp 500jt.</t>
  </si>
  <si>
    <t>Total EAD portofolio</t>
  </si>
  <si>
    <t>"Rp"#,##0</t>
  </si>
  <si>
    <t>4_EL_PORTOFOLIO</t>
  </si>
  <si>
    <t>6 segmen KUR.</t>
  </si>
  <si>
    <t>Total Expected Loss (EL)</t>
  </si>
  <si>
    <t>'= SUM(PD x LGD x EAD).</t>
  </si>
  <si>
    <t>EL / EAD</t>
  </si>
  <si>
    <t>kalkulasi</t>
  </si>
  <si>
    <t>Rasio kerugian diharapkan.</t>
  </si>
  <si>
    <t>RWA corporate (Basel F-IRB)</t>
  </si>
  <si>
    <t>5_BASEL_IRB</t>
  </si>
  <si>
    <t>1 segmen illustrasi.</t>
  </si>
  <si>
    <t>RWA retail (Basel IRB)</t>
  </si>
  <si>
    <t>KUR UMKM illustrasi.</t>
  </si>
  <si>
    <t>TUJUH CEK KONSISTENSI</t>
  </si>
  <si>
    <t>Tes</t>
  </si>
  <si>
    <t>Hasil</t>
  </si>
  <si>
    <t>Kriteria</t>
  </si>
  <si>
    <t>PD logit &amp; Merton konvergen</t>
  </si>
  <si>
    <t>Selisih &lt; 2 poin persen (convergent).</t>
  </si>
  <si>
    <t>LGD antara 0% dan 100%</t>
  </si>
  <si>
    <t>0 &lt;= LGD &lt;= 1.</t>
  </si>
  <si>
    <t>PD antara 0% dan 100%</t>
  </si>
  <si>
    <t>0 &lt;= PD &lt;= 1.</t>
  </si>
  <si>
    <t>EL &lt;= EAD</t>
  </si>
  <si>
    <t>Expected loss tidak melebihi exposure.</t>
  </si>
  <si>
    <t>EL / EAD &lt; 5% (porto sehat)</t>
  </si>
  <si>
    <t>EL rasio portofolio &lt; 5% (ambang sehat KUR).</t>
  </si>
  <si>
    <t>RWA corporate &gt; 0</t>
  </si>
  <si>
    <t>RWA positif (fungsi Basel valid).</t>
  </si>
  <si>
    <t>PD logit &gt; 0 (default risk exists)</t>
  </si>
  <si>
    <t>Selalu ada risiko default.</t>
  </si>
  <si>
    <t>GLOSARIUM RISIKO KREDIT</t>
  </si>
  <si>
    <t>PD (Probability of Default) — probabilitas peminjam gagal bayar dalam horizon (biasanya 1 tahun).</t>
  </si>
  <si>
    <t>LGD (Loss Given Default) — fraksi EAD yang hilang bila default terjadi, setelah recovery. = 1 - Recovery Rate.</t>
  </si>
  <si>
    <t>EAD (Exposure at Default) — saldo terpapar saat momen default. = Drawn + (Undrawn x CCF).</t>
  </si>
  <si>
    <t>EL (Expected Loss) = PD x LGD x EAD — rata-rata kerugian; diprovisi (PSAK 71 ECL).</t>
  </si>
  <si>
    <t>UL (Unexpected Loss) — dispersi kerugian di atas EL; ditahan sebagai modal ekonomi.</t>
  </si>
  <si>
    <t>CCF (Credit Conversion Factor) — fraksi undrawn yang diperkirakan tersedot saat default.</t>
  </si>
  <si>
    <t>RWA (Risk-Weighted Assets) — eksposur tertimbang menurut risiko; dasar hitung capital ratio.</t>
  </si>
  <si>
    <t>SICR (Significant Increase in Credit Risk) — kenaikan risiko signifikan; pemicu Stage 1 -&gt; Stage 2 PSAK 71.</t>
  </si>
  <si>
    <t>IRB (Internal Ratings-Based) — pendekatan Basel di mana bank pakai model internal untuk RWA.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</si>
</sst>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%"/>
    <numFmt numFmtId="166" formatCode="&quot;Rp&quot;#,##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  <fill>
      <patternFill patternType="solid">
        <fgColor rgb="FFBBDEFB"/>
      </patternFill>
    </fill>
    <fill>
      <patternFill patternType="solid">
        <fgColor rgb="FFC8E6C9"/>
      </patternFill>
    </fill>
    <fill>
      <patternFill patternType="solid">
        <fgColor rgb="FFFFE0B2"/>
      </patternFill>
    </fill>
    <fill>
      <patternFill patternType="solid">
        <fgColor rgb="FFFFCDD8"/>
      </patternFill>
    </fill>
  </fills>
  <borders count="4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10" fontId="3" fillId="5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/>
    </xf>
    <xf numFmtId="0" fontId="0" fillId="5" borderId="1" xfId="0" applyFill="1" applyBorder="1"/>
    <xf numFmtId="10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right" vertical="center"/>
    </xf>
    <xf numFmtId="10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3" fillId="7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7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0"/>
  <sheetViews>
    <sheetView showGridLines="0" tabSelected="1" workbookViewId="0"/>
  </sheetViews>
  <sheetFormatPr defaultRowHeight="15" x14ac:dyDescent="0.25"/>
  <cols>
    <col min="1" max="1" width="3" customWidth="1"/>
    <col min="2" max="2" width="28" customWidth="1"/>
    <col min="3" max="3" width="80" customWidth="1"/>
  </cols>
  <sheetData>
    <row r="2" spans="2:3" ht="30" customHeight="1" x14ac:dyDescent="0.25">
      <c r="B2" s="42" t="s">
        <v>0</v>
      </c>
      <c r="C2" s="41"/>
    </row>
    <row r="3" spans="2:3" x14ac:dyDescent="0.25">
      <c r="B3" s="44" t="s">
        <v>1</v>
      </c>
      <c r="C3" s="41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1" spans="2:3" x14ac:dyDescent="0.25">
      <c r="B11" s="2" t="s">
        <v>13</v>
      </c>
      <c r="C11" s="3" t="s">
        <v>14</v>
      </c>
    </row>
    <row r="13" spans="2:3" x14ac:dyDescent="0.25">
      <c r="B13" s="1" t="s">
        <v>15</v>
      </c>
    </row>
    <row r="14" spans="2:3" x14ac:dyDescent="0.25">
      <c r="B14" s="4" t="s">
        <v>16</v>
      </c>
      <c r="C14" s="3" t="s">
        <v>17</v>
      </c>
    </row>
    <row r="15" spans="2:3" x14ac:dyDescent="0.25">
      <c r="B15" s="3" t="s">
        <v>18</v>
      </c>
      <c r="C15" s="3" t="s">
        <v>19</v>
      </c>
    </row>
    <row r="16" spans="2:3" ht="30" x14ac:dyDescent="0.25">
      <c r="B16" s="5" t="s">
        <v>20</v>
      </c>
      <c r="C16" s="3" t="s">
        <v>21</v>
      </c>
    </row>
    <row r="17" spans="2:3" x14ac:dyDescent="0.25">
      <c r="B17" s="6" t="s">
        <v>22</v>
      </c>
      <c r="C17" s="3" t="s">
        <v>23</v>
      </c>
    </row>
    <row r="19" spans="2:3" ht="30" x14ac:dyDescent="0.25">
      <c r="B19" s="1" t="s">
        <v>24</v>
      </c>
    </row>
    <row r="20" spans="2:3" x14ac:dyDescent="0.25">
      <c r="B20" s="40" t="s">
        <v>25</v>
      </c>
      <c r="C20" s="41"/>
    </row>
    <row r="21" spans="2:3" x14ac:dyDescent="0.25">
      <c r="B21" s="40" t="s">
        <v>26</v>
      </c>
      <c r="C21" s="41"/>
    </row>
    <row r="22" spans="2:3" x14ac:dyDescent="0.25">
      <c r="B22" s="40" t="s">
        <v>27</v>
      </c>
      <c r="C22" s="41"/>
    </row>
    <row r="23" spans="2:3" x14ac:dyDescent="0.25">
      <c r="B23" s="40" t="s">
        <v>28</v>
      </c>
      <c r="C23" s="41"/>
    </row>
    <row r="24" spans="2:3" x14ac:dyDescent="0.25">
      <c r="B24" s="40" t="s">
        <v>29</v>
      </c>
      <c r="C24" s="41"/>
    </row>
    <row r="25" spans="2:3" x14ac:dyDescent="0.25">
      <c r="B25" s="40" t="s">
        <v>30</v>
      </c>
      <c r="C25" s="41"/>
    </row>
    <row r="26" spans="2:3" x14ac:dyDescent="0.25">
      <c r="B26" s="40" t="s">
        <v>31</v>
      </c>
      <c r="C26" s="41"/>
    </row>
    <row r="27" spans="2:3" x14ac:dyDescent="0.25">
      <c r="B27" s="40" t="s">
        <v>32</v>
      </c>
      <c r="C27" s="41"/>
    </row>
    <row r="28" spans="2:3" x14ac:dyDescent="0.25">
      <c r="B28" s="40" t="s">
        <v>32</v>
      </c>
      <c r="C28" s="41"/>
    </row>
    <row r="30" spans="2:3" x14ac:dyDescent="0.25">
      <c r="B30" s="43" t="s">
        <v>33</v>
      </c>
      <c r="C30" s="41"/>
    </row>
  </sheetData>
  <mergeCells count="12">
    <mergeCell ref="B21:C21"/>
    <mergeCell ref="B2:C2"/>
    <mergeCell ref="B24:C24"/>
    <mergeCell ref="B30:C30"/>
    <mergeCell ref="B25:C25"/>
    <mergeCell ref="B3:C3"/>
    <mergeCell ref="B20:C20"/>
    <mergeCell ref="B28:C28"/>
    <mergeCell ref="B23:C23"/>
    <mergeCell ref="B22:C22"/>
    <mergeCell ref="B26:C26"/>
    <mergeCell ref="B27:C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3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30" customWidth="1"/>
    <col min="3" max="7" width="16" customWidth="1"/>
    <col min="8" max="8" width="38" customWidth="1"/>
  </cols>
  <sheetData>
    <row r="2" spans="2:8" ht="26.1" customHeight="1" x14ac:dyDescent="0.25">
      <c r="B2" s="42" t="s">
        <v>34</v>
      </c>
      <c r="C2" s="41"/>
      <c r="D2" s="41"/>
      <c r="E2" s="41"/>
      <c r="F2" s="41"/>
      <c r="G2" s="41"/>
      <c r="H2" s="41"/>
    </row>
    <row r="3" spans="2:8" x14ac:dyDescent="0.25">
      <c r="B3" s="44" t="s">
        <v>35</v>
      </c>
      <c r="C3" s="41"/>
      <c r="D3" s="41"/>
      <c r="E3" s="41"/>
      <c r="F3" s="41"/>
      <c r="G3" s="41"/>
      <c r="H3" s="41"/>
    </row>
    <row r="5" spans="2:8" x14ac:dyDescent="0.25">
      <c r="B5" s="50" t="s">
        <v>36</v>
      </c>
      <c r="C5" s="41"/>
      <c r="D5" s="41"/>
      <c r="E5" s="41"/>
      <c r="F5" s="41"/>
      <c r="G5" s="41"/>
      <c r="H5" s="51"/>
    </row>
    <row r="7" spans="2:8" x14ac:dyDescent="0.25">
      <c r="B7" s="45" t="s">
        <v>37</v>
      </c>
      <c r="C7" s="46"/>
      <c r="D7" s="46"/>
      <c r="E7" s="46"/>
      <c r="F7" s="46"/>
      <c r="G7" s="46"/>
      <c r="H7" s="47"/>
    </row>
    <row r="9" spans="2:8" x14ac:dyDescent="0.25">
      <c r="B9" s="6" t="s">
        <v>38</v>
      </c>
      <c r="C9" s="6" t="s">
        <v>39</v>
      </c>
      <c r="D9" s="52" t="s">
        <v>40</v>
      </c>
      <c r="E9" s="41"/>
      <c r="F9" s="41"/>
      <c r="G9" s="41"/>
      <c r="H9" s="41"/>
    </row>
    <row r="10" spans="2:8" x14ac:dyDescent="0.25">
      <c r="B10" s="3" t="s">
        <v>41</v>
      </c>
      <c r="C10" s="8">
        <v>-3</v>
      </c>
      <c r="D10" s="45" t="s">
        <v>42</v>
      </c>
      <c r="E10" s="41"/>
      <c r="F10" s="41"/>
      <c r="G10" s="41"/>
      <c r="H10" s="41"/>
    </row>
    <row r="11" spans="2:8" x14ac:dyDescent="0.25">
      <c r="B11" s="3" t="s">
        <v>43</v>
      </c>
      <c r="C11" s="8">
        <v>0.45</v>
      </c>
      <c r="D11" s="45" t="s">
        <v>44</v>
      </c>
      <c r="E11" s="41"/>
      <c r="F11" s="41"/>
      <c r="G11" s="41"/>
      <c r="H11" s="41"/>
    </row>
    <row r="12" spans="2:8" x14ac:dyDescent="0.25">
      <c r="B12" s="3" t="s">
        <v>45</v>
      </c>
      <c r="C12" s="8">
        <v>1.8</v>
      </c>
      <c r="D12" s="45" t="s">
        <v>46</v>
      </c>
      <c r="E12" s="41"/>
      <c r="F12" s="41"/>
      <c r="G12" s="41"/>
      <c r="H12" s="41"/>
    </row>
    <row r="13" spans="2:8" x14ac:dyDescent="0.25">
      <c r="B13" s="3" t="s">
        <v>47</v>
      </c>
      <c r="C13" s="8">
        <v>1.2</v>
      </c>
      <c r="D13" s="45" t="s">
        <v>48</v>
      </c>
      <c r="E13" s="41"/>
      <c r="F13" s="41"/>
      <c r="G13" s="41"/>
      <c r="H13" s="41"/>
    </row>
    <row r="14" spans="2:8" x14ac:dyDescent="0.25">
      <c r="B14" s="3" t="s">
        <v>49</v>
      </c>
      <c r="C14" s="8">
        <v>-0.9</v>
      </c>
      <c r="D14" s="45" t="s">
        <v>50</v>
      </c>
      <c r="E14" s="41"/>
      <c r="F14" s="41"/>
      <c r="G14" s="41"/>
      <c r="H14" s="41"/>
    </row>
    <row r="15" spans="2:8" x14ac:dyDescent="0.25">
      <c r="B15" s="3" t="s">
        <v>51</v>
      </c>
      <c r="C15" s="8">
        <v>10.9</v>
      </c>
      <c r="D15" s="45" t="s">
        <v>52</v>
      </c>
      <c r="E15" s="41"/>
      <c r="F15" s="41"/>
      <c r="G15" s="41"/>
      <c r="H15" s="41"/>
    </row>
    <row r="16" spans="2:8" x14ac:dyDescent="0.25">
      <c r="B16" s="3" t="s">
        <v>53</v>
      </c>
      <c r="C16" s="8">
        <v>0.03</v>
      </c>
      <c r="D16" s="45" t="s">
        <v>54</v>
      </c>
      <c r="E16" s="41"/>
      <c r="F16" s="41"/>
      <c r="G16" s="41"/>
      <c r="H16" s="41"/>
    </row>
    <row r="18" spans="2:8" x14ac:dyDescent="0.25">
      <c r="B18" s="48" t="s">
        <v>55</v>
      </c>
      <c r="C18" s="49"/>
      <c r="D18" s="49"/>
      <c r="E18" s="49"/>
      <c r="F18" s="49"/>
      <c r="G18" s="49"/>
      <c r="H18" s="49"/>
    </row>
    <row r="19" spans="2:8" x14ac:dyDescent="0.25">
      <c r="B19" s="9" t="s">
        <v>56</v>
      </c>
      <c r="C19" s="10">
        <f>C10+C12*C11+C14*C13+C16*C15</f>
        <v>-2.9430000000000001</v>
      </c>
      <c r="D19" s="45" t="s">
        <v>57</v>
      </c>
      <c r="E19" s="41"/>
      <c r="F19" s="41"/>
      <c r="G19" s="41"/>
      <c r="H19" s="41"/>
    </row>
    <row r="20" spans="2:8" x14ac:dyDescent="0.25">
      <c r="B20" s="9" t="s">
        <v>58</v>
      </c>
      <c r="C20" s="11">
        <f>1/(1+EXP(-C19))</f>
        <v>5.0068395787654964E-2</v>
      </c>
      <c r="D20" s="45" t="s">
        <v>59</v>
      </c>
      <c r="E20" s="41"/>
      <c r="F20" s="41"/>
      <c r="G20" s="41"/>
      <c r="H20" s="41"/>
    </row>
    <row r="22" spans="2:8" x14ac:dyDescent="0.25">
      <c r="B22" s="50" t="s">
        <v>60</v>
      </c>
      <c r="C22" s="41"/>
      <c r="D22" s="41"/>
      <c r="E22" s="41"/>
      <c r="F22" s="41"/>
      <c r="G22" s="41"/>
      <c r="H22" s="51"/>
    </row>
    <row r="24" spans="2:8" x14ac:dyDescent="0.25">
      <c r="B24" s="45" t="s">
        <v>61</v>
      </c>
      <c r="C24" s="46"/>
      <c r="D24" s="46"/>
      <c r="E24" s="46"/>
      <c r="F24" s="46"/>
      <c r="G24" s="46"/>
      <c r="H24" s="47"/>
    </row>
    <row r="26" spans="2:8" x14ac:dyDescent="0.25">
      <c r="B26" s="6" t="s">
        <v>62</v>
      </c>
      <c r="C26" s="6" t="s">
        <v>39</v>
      </c>
      <c r="D26" s="52" t="s">
        <v>40</v>
      </c>
      <c r="E26" s="41"/>
      <c r="F26" s="41"/>
      <c r="G26" s="41"/>
      <c r="H26" s="41"/>
    </row>
    <row r="27" spans="2:8" x14ac:dyDescent="0.25">
      <c r="B27" s="3" t="s">
        <v>63</v>
      </c>
      <c r="C27" s="8">
        <v>1560</v>
      </c>
      <c r="D27" s="45" t="s">
        <v>64</v>
      </c>
      <c r="E27" s="41"/>
      <c r="F27" s="41"/>
      <c r="G27" s="41"/>
      <c r="H27" s="41"/>
    </row>
    <row r="28" spans="2:8" x14ac:dyDescent="0.25">
      <c r="B28" s="3" t="s">
        <v>65</v>
      </c>
      <c r="C28" s="8">
        <v>1100</v>
      </c>
      <c r="D28" s="45" t="s">
        <v>66</v>
      </c>
      <c r="E28" s="41"/>
      <c r="F28" s="41"/>
      <c r="G28" s="41"/>
      <c r="H28" s="41"/>
    </row>
    <row r="29" spans="2:8" x14ac:dyDescent="0.25">
      <c r="B29" s="3" t="s">
        <v>67</v>
      </c>
      <c r="C29" s="8">
        <v>0.05</v>
      </c>
      <c r="D29" s="45" t="s">
        <v>68</v>
      </c>
      <c r="E29" s="41"/>
      <c r="F29" s="41"/>
      <c r="G29" s="41"/>
      <c r="H29" s="41"/>
    </row>
    <row r="30" spans="2:8" x14ac:dyDescent="0.25">
      <c r="B30" s="3" t="s">
        <v>69</v>
      </c>
      <c r="C30" s="8">
        <v>0.22800000000000001</v>
      </c>
      <c r="D30" s="45" t="s">
        <v>70</v>
      </c>
      <c r="E30" s="41"/>
      <c r="F30" s="41"/>
      <c r="G30" s="41"/>
      <c r="H30" s="41"/>
    </row>
    <row r="31" spans="2:8" x14ac:dyDescent="0.25">
      <c r="B31" s="3" t="s">
        <v>71</v>
      </c>
      <c r="C31" s="8">
        <v>1</v>
      </c>
      <c r="D31" s="45" t="s">
        <v>72</v>
      </c>
      <c r="E31" s="41"/>
      <c r="F31" s="41"/>
      <c r="G31" s="41"/>
      <c r="H31" s="41"/>
    </row>
    <row r="33" spans="2:8" x14ac:dyDescent="0.25">
      <c r="B33" s="48" t="s">
        <v>73</v>
      </c>
      <c r="C33" s="49"/>
      <c r="D33" s="49"/>
      <c r="E33" s="49"/>
      <c r="F33" s="49"/>
      <c r="G33" s="49"/>
      <c r="H33" s="49"/>
    </row>
    <row r="34" spans="2:8" x14ac:dyDescent="0.25">
      <c r="B34" s="9" t="s">
        <v>74</v>
      </c>
      <c r="C34" s="10">
        <f>(LN(C27/C28)+(C29-0.5*C30^2)*C31)/(C30*SQRT(C31))</f>
        <v>1.6376475502505301</v>
      </c>
      <c r="D34" s="45" t="s">
        <v>75</v>
      </c>
      <c r="E34" s="41"/>
      <c r="F34" s="41"/>
      <c r="G34" s="41"/>
      <c r="H34" s="41"/>
    </row>
    <row r="35" spans="2:8" x14ac:dyDescent="0.25">
      <c r="B35" s="9" t="s">
        <v>76</v>
      </c>
      <c r="C35" s="10">
        <f>C34</f>
        <v>1.6376475502505301</v>
      </c>
      <c r="D35" s="45" t="s">
        <v>77</v>
      </c>
      <c r="E35" s="41"/>
      <c r="F35" s="41"/>
      <c r="G35" s="41"/>
      <c r="H35" s="41"/>
    </row>
    <row r="36" spans="2:8" ht="30" x14ac:dyDescent="0.25">
      <c r="B36" s="9" t="s">
        <v>78</v>
      </c>
      <c r="C36" s="11">
        <f>NORMSDIST(-C35)</f>
        <v>5.0747618872484267E-2</v>
      </c>
      <c r="D36" s="45" t="s">
        <v>79</v>
      </c>
      <c r="E36" s="41"/>
      <c r="F36" s="41"/>
      <c r="G36" s="41"/>
      <c r="H36" s="41"/>
    </row>
    <row r="38" spans="2:8" x14ac:dyDescent="0.25">
      <c r="B38" s="48" t="s">
        <v>80</v>
      </c>
      <c r="C38" s="41"/>
      <c r="D38" s="41"/>
      <c r="E38" s="41"/>
      <c r="F38" s="41"/>
      <c r="G38" s="41"/>
      <c r="H38" s="49"/>
    </row>
    <row r="40" spans="2:8" x14ac:dyDescent="0.25">
      <c r="B40" s="3" t="s">
        <v>81</v>
      </c>
      <c r="C40" s="12">
        <f>C20</f>
        <v>5.0068395787654964E-2</v>
      </c>
      <c r="D40" s="45" t="s">
        <v>82</v>
      </c>
      <c r="E40" s="41"/>
      <c r="F40" s="41"/>
      <c r="G40" s="41"/>
      <c r="H40" s="41"/>
    </row>
    <row r="41" spans="2:8" x14ac:dyDescent="0.25">
      <c r="B41" s="3" t="s">
        <v>83</v>
      </c>
      <c r="C41" s="12">
        <f>C36</f>
        <v>5.0747618872484267E-2</v>
      </c>
      <c r="D41" s="45" t="s">
        <v>84</v>
      </c>
      <c r="E41" s="41"/>
      <c r="F41" s="41"/>
      <c r="G41" s="41"/>
      <c r="H41" s="41"/>
    </row>
    <row r="42" spans="2:8" x14ac:dyDescent="0.25">
      <c r="B42" s="13" t="s">
        <v>85</v>
      </c>
      <c r="C42" s="11">
        <f>ABS(C20-C36)</f>
        <v>6.7922308482930294E-4</v>
      </c>
      <c r="D42" s="53" t="s">
        <v>86</v>
      </c>
      <c r="E42" s="41"/>
      <c r="F42" s="41"/>
      <c r="G42" s="41"/>
      <c r="H42" s="41"/>
    </row>
    <row r="43" spans="2:8" x14ac:dyDescent="0.25">
      <c r="B43" s="9" t="s">
        <v>87</v>
      </c>
      <c r="C43" s="15" t="str">
        <f>IF(ABS(C20-C36)&lt;0.01,"KONVERGEN","DIVERGEN")</f>
        <v>KONVERGEN</v>
      </c>
      <c r="D43" s="45" t="s">
        <v>88</v>
      </c>
      <c r="E43" s="41"/>
      <c r="F43" s="41"/>
      <c r="G43" s="41"/>
      <c r="H43" s="41"/>
    </row>
  </sheetData>
  <mergeCells count="32">
    <mergeCell ref="D43:H43"/>
    <mergeCell ref="D28:H28"/>
    <mergeCell ref="B2:H2"/>
    <mergeCell ref="D9:H9"/>
    <mergeCell ref="D12:H12"/>
    <mergeCell ref="D30:H30"/>
    <mergeCell ref="D15:H15"/>
    <mergeCell ref="D42:H42"/>
    <mergeCell ref="D29:H29"/>
    <mergeCell ref="B38:H38"/>
    <mergeCell ref="D14:H14"/>
    <mergeCell ref="D26:H26"/>
    <mergeCell ref="D41:H41"/>
    <mergeCell ref="B7:H7"/>
    <mergeCell ref="B3:H3"/>
    <mergeCell ref="B22:H22"/>
    <mergeCell ref="D16:H16"/>
    <mergeCell ref="B18:H18"/>
    <mergeCell ref="B5:H5"/>
    <mergeCell ref="D40:H40"/>
    <mergeCell ref="D36:H36"/>
    <mergeCell ref="D11:H11"/>
    <mergeCell ref="D13:H13"/>
    <mergeCell ref="D27:H27"/>
    <mergeCell ref="D35:H35"/>
    <mergeCell ref="D20:H20"/>
    <mergeCell ref="D34:H34"/>
    <mergeCell ref="D10:H10"/>
    <mergeCell ref="D19:H19"/>
    <mergeCell ref="B24:H24"/>
    <mergeCell ref="D31:H31"/>
    <mergeCell ref="B33:H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7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30" customWidth="1"/>
    <col min="3" max="6" width="16" customWidth="1"/>
    <col min="7" max="7" width="38" customWidth="1"/>
  </cols>
  <sheetData>
    <row r="2" spans="2:7" ht="26.1" customHeight="1" x14ac:dyDescent="0.25">
      <c r="B2" s="42" t="s">
        <v>89</v>
      </c>
      <c r="C2" s="41"/>
      <c r="D2" s="41"/>
      <c r="E2" s="41"/>
      <c r="F2" s="41"/>
      <c r="G2" s="41"/>
    </row>
    <row r="3" spans="2:7" x14ac:dyDescent="0.25">
      <c r="B3" s="44" t="s">
        <v>90</v>
      </c>
      <c r="C3" s="41"/>
      <c r="D3" s="41"/>
      <c r="E3" s="41"/>
      <c r="F3" s="41"/>
      <c r="G3" s="41"/>
    </row>
    <row r="5" spans="2:7" x14ac:dyDescent="0.25">
      <c r="B5" s="50" t="s">
        <v>91</v>
      </c>
      <c r="C5" s="41"/>
      <c r="D5" s="41"/>
      <c r="E5" s="41"/>
      <c r="F5" s="41"/>
      <c r="G5" s="51"/>
    </row>
    <row r="7" spans="2:7" x14ac:dyDescent="0.25">
      <c r="B7" s="6" t="s">
        <v>62</v>
      </c>
      <c r="C7" s="6" t="s">
        <v>39</v>
      </c>
      <c r="D7" s="52" t="s">
        <v>92</v>
      </c>
      <c r="E7" s="41"/>
      <c r="F7" s="41"/>
      <c r="G7" s="6" t="s">
        <v>40</v>
      </c>
    </row>
    <row r="8" spans="2:7" x14ac:dyDescent="0.25">
      <c r="B8" s="3" t="s">
        <v>93</v>
      </c>
      <c r="C8" s="8">
        <v>500</v>
      </c>
      <c r="D8" s="45" t="s">
        <v>94</v>
      </c>
      <c r="E8" s="41"/>
      <c r="F8" s="41"/>
      <c r="G8" s="7" t="s">
        <v>95</v>
      </c>
    </row>
    <row r="9" spans="2:7" ht="25.5" x14ac:dyDescent="0.25">
      <c r="B9" s="3" t="s">
        <v>96</v>
      </c>
      <c r="C9" s="8">
        <v>450</v>
      </c>
      <c r="D9" s="45" t="s">
        <v>97</v>
      </c>
      <c r="E9" s="41"/>
      <c r="F9" s="41"/>
      <c r="G9" s="7" t="s">
        <v>98</v>
      </c>
    </row>
    <row r="10" spans="2:7" ht="25.5" x14ac:dyDescent="0.25">
      <c r="B10" s="3" t="s">
        <v>99</v>
      </c>
      <c r="C10" s="8">
        <v>0.2</v>
      </c>
      <c r="D10" s="45" t="s">
        <v>100</v>
      </c>
      <c r="E10" s="41"/>
      <c r="F10" s="41"/>
      <c r="G10" s="7" t="s">
        <v>101</v>
      </c>
    </row>
    <row r="11" spans="2:7" ht="25.5" x14ac:dyDescent="0.25">
      <c r="B11" s="3" t="s">
        <v>102</v>
      </c>
      <c r="C11" s="8">
        <v>0.05</v>
      </c>
      <c r="D11" s="45" t="s">
        <v>103</v>
      </c>
      <c r="E11" s="41"/>
      <c r="F11" s="41"/>
      <c r="G11" s="7" t="s">
        <v>104</v>
      </c>
    </row>
    <row r="12" spans="2:7" ht="25.5" x14ac:dyDescent="0.25">
      <c r="B12" s="3" t="s">
        <v>105</v>
      </c>
      <c r="C12" s="8">
        <v>0</v>
      </c>
      <c r="D12" s="45" t="s">
        <v>106</v>
      </c>
      <c r="E12" s="41"/>
      <c r="F12" s="41"/>
      <c r="G12" s="7" t="s">
        <v>107</v>
      </c>
    </row>
    <row r="14" spans="2:7" ht="30" x14ac:dyDescent="0.25">
      <c r="B14" s="2" t="s">
        <v>108</v>
      </c>
      <c r="C14" s="16">
        <f>C9*(1-C10)</f>
        <v>360</v>
      </c>
      <c r="D14" s="55" t="s">
        <v>109</v>
      </c>
      <c r="E14" s="41"/>
      <c r="F14" s="41"/>
      <c r="G14" s="17" t="s">
        <v>110</v>
      </c>
    </row>
    <row r="15" spans="2:7" ht="25.5" x14ac:dyDescent="0.25">
      <c r="B15" s="9" t="s">
        <v>111</v>
      </c>
      <c r="C15" s="18">
        <f>MAX(C8-C14,0)</f>
        <v>140</v>
      </c>
      <c r="D15" s="45" t="s">
        <v>112</v>
      </c>
      <c r="E15" s="41"/>
      <c r="F15" s="41"/>
      <c r="G15" s="7" t="s">
        <v>113</v>
      </c>
    </row>
    <row r="16" spans="2:7" ht="30" x14ac:dyDescent="0.25">
      <c r="B16" s="9" t="s">
        <v>114</v>
      </c>
      <c r="C16" s="18">
        <f>C15*C12</f>
        <v>0</v>
      </c>
      <c r="D16" s="45" t="s">
        <v>115</v>
      </c>
      <c r="E16" s="41"/>
      <c r="F16" s="41"/>
      <c r="G16" s="7" t="s">
        <v>116</v>
      </c>
    </row>
    <row r="17" spans="2:7" x14ac:dyDescent="0.25">
      <c r="B17" s="9" t="s">
        <v>117</v>
      </c>
      <c r="C17" s="19">
        <f>C14+C16</f>
        <v>360</v>
      </c>
      <c r="D17" s="53" t="s">
        <v>118</v>
      </c>
      <c r="E17" s="41"/>
      <c r="F17" s="41"/>
      <c r="G17" s="20"/>
    </row>
    <row r="18" spans="2:7" ht="25.5" x14ac:dyDescent="0.25">
      <c r="B18" s="9" t="s">
        <v>119</v>
      </c>
      <c r="C18" s="18">
        <f>C8*C11</f>
        <v>25</v>
      </c>
      <c r="D18" s="45" t="s">
        <v>120</v>
      </c>
      <c r="E18" s="41"/>
      <c r="F18" s="41"/>
      <c r="G18" s="7" t="s">
        <v>121</v>
      </c>
    </row>
    <row r="19" spans="2:7" x14ac:dyDescent="0.25">
      <c r="B19" s="9" t="s">
        <v>122</v>
      </c>
      <c r="C19" s="21">
        <f>(C17-C18)/C8</f>
        <v>0.67</v>
      </c>
      <c r="D19" s="53" t="s">
        <v>123</v>
      </c>
      <c r="E19" s="41"/>
      <c r="F19" s="41"/>
      <c r="G19" s="14" t="s">
        <v>124</v>
      </c>
    </row>
    <row r="20" spans="2:7" x14ac:dyDescent="0.25">
      <c r="B20" s="9" t="s">
        <v>125</v>
      </c>
      <c r="C20" s="21">
        <f>1-C19</f>
        <v>0.32999999999999996</v>
      </c>
      <c r="D20" s="53" t="s">
        <v>126</v>
      </c>
      <c r="E20" s="41"/>
      <c r="F20" s="41"/>
      <c r="G20" s="14" t="s">
        <v>127</v>
      </c>
    </row>
    <row r="22" spans="2:7" x14ac:dyDescent="0.25">
      <c r="B22" s="48" t="s">
        <v>128</v>
      </c>
      <c r="C22" s="41"/>
      <c r="D22" s="41"/>
      <c r="E22" s="41"/>
      <c r="F22" s="41"/>
      <c r="G22" s="49"/>
    </row>
    <row r="24" spans="2:7" x14ac:dyDescent="0.25">
      <c r="B24" s="54" t="s">
        <v>129</v>
      </c>
      <c r="C24" s="46"/>
      <c r="D24" s="46"/>
      <c r="E24" s="46"/>
      <c r="F24" s="46"/>
      <c r="G24" s="47"/>
    </row>
    <row r="25" spans="2:7" x14ac:dyDescent="0.25">
      <c r="B25" s="54" t="s">
        <v>130</v>
      </c>
      <c r="C25" s="46"/>
      <c r="D25" s="46"/>
      <c r="E25" s="46"/>
      <c r="F25" s="46"/>
      <c r="G25" s="47"/>
    </row>
    <row r="26" spans="2:7" x14ac:dyDescent="0.25">
      <c r="B26" s="54" t="s">
        <v>131</v>
      </c>
      <c r="C26" s="46"/>
      <c r="D26" s="46"/>
      <c r="E26" s="46"/>
      <c r="F26" s="46"/>
      <c r="G26" s="47"/>
    </row>
    <row r="27" spans="2:7" x14ac:dyDescent="0.25">
      <c r="B27" s="54" t="s">
        <v>132</v>
      </c>
      <c r="C27" s="46"/>
      <c r="D27" s="46"/>
      <c r="E27" s="46"/>
      <c r="F27" s="46"/>
      <c r="G27" s="47"/>
    </row>
  </sheetData>
  <mergeCells count="21">
    <mergeCell ref="B27:G27"/>
    <mergeCell ref="B26:G26"/>
    <mergeCell ref="D20:F20"/>
    <mergeCell ref="B25:G25"/>
    <mergeCell ref="D10:F10"/>
    <mergeCell ref="B3:G3"/>
    <mergeCell ref="D19:F19"/>
    <mergeCell ref="B22:G22"/>
    <mergeCell ref="D18:F18"/>
    <mergeCell ref="D9:F9"/>
    <mergeCell ref="D8:F8"/>
    <mergeCell ref="D15:F15"/>
    <mergeCell ref="B24:G24"/>
    <mergeCell ref="D14:F14"/>
    <mergeCell ref="B2:G2"/>
    <mergeCell ref="D11:F11"/>
    <mergeCell ref="D17:F17"/>
    <mergeCell ref="D7:F7"/>
    <mergeCell ref="D16:F16"/>
    <mergeCell ref="D12:F12"/>
    <mergeCell ref="B5:G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3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6" customWidth="1"/>
    <col min="3" max="4" width="14" customWidth="1"/>
    <col min="5" max="5" width="12" customWidth="1"/>
    <col min="6" max="7" width="14" customWidth="1"/>
    <col min="8" max="8" width="38" customWidth="1"/>
  </cols>
  <sheetData>
    <row r="2" spans="2:8" ht="26.1" customHeight="1" x14ac:dyDescent="0.25">
      <c r="B2" s="42" t="s">
        <v>133</v>
      </c>
      <c r="C2" s="41"/>
      <c r="D2" s="41"/>
      <c r="E2" s="41"/>
      <c r="F2" s="41"/>
      <c r="G2" s="41"/>
      <c r="H2" s="41"/>
    </row>
    <row r="3" spans="2:8" x14ac:dyDescent="0.25">
      <c r="B3" s="44" t="s">
        <v>134</v>
      </c>
      <c r="C3" s="41"/>
      <c r="D3" s="41"/>
      <c r="E3" s="41"/>
      <c r="F3" s="41"/>
      <c r="G3" s="41"/>
      <c r="H3" s="41"/>
    </row>
    <row r="5" spans="2:8" x14ac:dyDescent="0.25">
      <c r="B5" s="50" t="s">
        <v>135</v>
      </c>
      <c r="C5" s="41"/>
      <c r="D5" s="41"/>
      <c r="E5" s="41"/>
      <c r="F5" s="41"/>
      <c r="G5" s="41"/>
      <c r="H5" s="51"/>
    </row>
    <row r="7" spans="2:8" ht="30" customHeight="1" x14ac:dyDescent="0.25">
      <c r="B7" s="6" t="s">
        <v>136</v>
      </c>
      <c r="C7" s="6" t="s">
        <v>137</v>
      </c>
      <c r="D7" s="6" t="s">
        <v>138</v>
      </c>
      <c r="E7" s="6" t="s">
        <v>139</v>
      </c>
      <c r="F7" s="6" t="s">
        <v>140</v>
      </c>
      <c r="G7" s="6" t="s">
        <v>141</v>
      </c>
      <c r="H7" s="6" t="s">
        <v>40</v>
      </c>
    </row>
    <row r="8" spans="2:8" ht="25.5" x14ac:dyDescent="0.25">
      <c r="B8" s="3" t="s">
        <v>142</v>
      </c>
      <c r="C8" s="22">
        <v>500</v>
      </c>
      <c r="D8" s="22">
        <v>500</v>
      </c>
      <c r="E8" s="23">
        <v>0</v>
      </c>
      <c r="F8" s="24">
        <f>C8-D8</f>
        <v>0</v>
      </c>
      <c r="G8" s="19">
        <f>D8+F8*E8</f>
        <v>500</v>
      </c>
      <c r="H8" s="7" t="s">
        <v>143</v>
      </c>
    </row>
    <row r="9" spans="2:8" x14ac:dyDescent="0.25">
      <c r="B9" s="3" t="s">
        <v>144</v>
      </c>
      <c r="C9" s="22">
        <v>500</v>
      </c>
      <c r="D9" s="22">
        <v>300</v>
      </c>
      <c r="E9" s="23">
        <v>0.5</v>
      </c>
      <c r="F9" s="24">
        <f>C9-D9</f>
        <v>200</v>
      </c>
      <c r="G9" s="19">
        <f>D9+F9*E9</f>
        <v>400</v>
      </c>
      <c r="H9" s="7" t="s">
        <v>145</v>
      </c>
    </row>
    <row r="10" spans="2:8" x14ac:dyDescent="0.25">
      <c r="B10" s="3" t="s">
        <v>146</v>
      </c>
      <c r="C10" s="22">
        <v>200</v>
      </c>
      <c r="D10" s="22">
        <v>80</v>
      </c>
      <c r="E10" s="23">
        <v>0.75</v>
      </c>
      <c r="F10" s="24">
        <f>C10-D10</f>
        <v>120</v>
      </c>
      <c r="G10" s="19">
        <f>D10+F10*E10</f>
        <v>170</v>
      </c>
      <c r="H10" s="7" t="s">
        <v>147</v>
      </c>
    </row>
    <row r="11" spans="2:8" ht="25.5" x14ac:dyDescent="0.25">
      <c r="B11" s="3" t="s">
        <v>148</v>
      </c>
      <c r="C11" s="22">
        <v>300</v>
      </c>
      <c r="D11" s="22">
        <v>0</v>
      </c>
      <c r="E11" s="23">
        <v>0.1</v>
      </c>
      <c r="F11" s="24">
        <f>C11-D11</f>
        <v>300</v>
      </c>
      <c r="G11" s="19">
        <f>D11+F11*E11</f>
        <v>30</v>
      </c>
      <c r="H11" s="7" t="s">
        <v>149</v>
      </c>
    </row>
    <row r="12" spans="2:8" ht="25.5" x14ac:dyDescent="0.25">
      <c r="B12" s="3" t="s">
        <v>150</v>
      </c>
      <c r="C12" s="22">
        <v>200</v>
      </c>
      <c r="D12" s="22">
        <v>50</v>
      </c>
      <c r="E12" s="23">
        <v>0.6</v>
      </c>
      <c r="F12" s="24">
        <f>C12-D12</f>
        <v>150</v>
      </c>
      <c r="G12" s="19">
        <f>D12+F12*E12</f>
        <v>140</v>
      </c>
      <c r="H12" s="7" t="s">
        <v>151</v>
      </c>
    </row>
    <row r="13" spans="2:8" x14ac:dyDescent="0.25">
      <c r="B13" s="13" t="s">
        <v>152</v>
      </c>
      <c r="C13" s="25"/>
      <c r="D13" s="25"/>
      <c r="E13" s="25"/>
      <c r="F13" s="25"/>
      <c r="G13" s="19">
        <f>SUM(G8:G12)</f>
        <v>1240</v>
      </c>
      <c r="H13" s="14" t="s">
        <v>153</v>
      </c>
    </row>
    <row r="15" spans="2:8" x14ac:dyDescent="0.25">
      <c r="B15" s="48" t="s">
        <v>154</v>
      </c>
      <c r="C15" s="41"/>
      <c r="D15" s="41"/>
      <c r="E15" s="41"/>
      <c r="F15" s="41"/>
      <c r="G15" s="41"/>
      <c r="H15" s="49"/>
    </row>
    <row r="17" spans="2:8" x14ac:dyDescent="0.25">
      <c r="B17" s="6" t="s">
        <v>155</v>
      </c>
      <c r="C17" s="6" t="s">
        <v>156</v>
      </c>
      <c r="D17" s="52" t="s">
        <v>40</v>
      </c>
      <c r="E17" s="41"/>
      <c r="F17" s="41"/>
      <c r="G17" s="41"/>
      <c r="H17" s="41"/>
    </row>
    <row r="18" spans="2:8" ht="30" x14ac:dyDescent="0.25">
      <c r="B18" s="3" t="s">
        <v>157</v>
      </c>
      <c r="C18" s="26">
        <v>1</v>
      </c>
      <c r="D18" s="45" t="s">
        <v>158</v>
      </c>
      <c r="E18" s="41"/>
      <c r="F18" s="41"/>
      <c r="G18" s="41"/>
      <c r="H18" s="41"/>
    </row>
    <row r="19" spans="2:8" ht="30" x14ac:dyDescent="0.25">
      <c r="B19" s="3" t="s">
        <v>159</v>
      </c>
      <c r="C19" s="26">
        <v>0.2</v>
      </c>
      <c r="D19" s="45" t="s">
        <v>160</v>
      </c>
      <c r="E19" s="41"/>
      <c r="F19" s="41"/>
      <c r="G19" s="41"/>
      <c r="H19" s="41"/>
    </row>
    <row r="20" spans="2:8" ht="30" x14ac:dyDescent="0.25">
      <c r="B20" s="3" t="s">
        <v>161</v>
      </c>
      <c r="C20" s="26">
        <v>0.5</v>
      </c>
      <c r="D20" s="45" t="s">
        <v>162</v>
      </c>
      <c r="E20" s="41"/>
      <c r="F20" s="41"/>
      <c r="G20" s="41"/>
      <c r="H20" s="41"/>
    </row>
    <row r="21" spans="2:8" ht="30" x14ac:dyDescent="0.25">
      <c r="B21" s="3" t="s">
        <v>163</v>
      </c>
      <c r="C21" s="26">
        <v>0.4</v>
      </c>
      <c r="D21" s="45" t="s">
        <v>164</v>
      </c>
      <c r="E21" s="41"/>
      <c r="F21" s="41"/>
      <c r="G21" s="41"/>
      <c r="H21" s="41"/>
    </row>
    <row r="22" spans="2:8" x14ac:dyDescent="0.25">
      <c r="B22" s="3" t="s">
        <v>165</v>
      </c>
      <c r="C22" s="26">
        <v>0.2</v>
      </c>
      <c r="D22" s="45" t="s">
        <v>166</v>
      </c>
      <c r="E22" s="41"/>
      <c r="F22" s="41"/>
      <c r="G22" s="41"/>
      <c r="H22" s="41"/>
    </row>
    <row r="23" spans="2:8" x14ac:dyDescent="0.25">
      <c r="B23" s="3" t="s">
        <v>167</v>
      </c>
      <c r="C23" s="26">
        <v>0.1</v>
      </c>
      <c r="D23" s="45" t="s">
        <v>168</v>
      </c>
      <c r="E23" s="41"/>
      <c r="F23" s="41"/>
      <c r="G23" s="41"/>
      <c r="H23" s="41"/>
    </row>
  </sheetData>
  <mergeCells count="11">
    <mergeCell ref="D23:H23"/>
    <mergeCell ref="B15:H15"/>
    <mergeCell ref="B3:H3"/>
    <mergeCell ref="B5:H5"/>
    <mergeCell ref="D18:H18"/>
    <mergeCell ref="D17:H17"/>
    <mergeCell ref="D21:H21"/>
    <mergeCell ref="D20:H20"/>
    <mergeCell ref="D22:H22"/>
    <mergeCell ref="D19:H19"/>
    <mergeCell ref="B2:H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7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0" customWidth="1"/>
    <col min="3" max="3" width="13" customWidth="1"/>
    <col min="4" max="6" width="12" customWidth="1"/>
    <col min="7" max="10" width="14" customWidth="1"/>
    <col min="11" max="11" width="12" customWidth="1"/>
    <col min="12" max="12" width="30" customWidth="1"/>
  </cols>
  <sheetData>
    <row r="2" spans="2:12" ht="26.1" customHeight="1" x14ac:dyDescent="0.25">
      <c r="B2" s="42" t="s">
        <v>169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x14ac:dyDescent="0.25">
      <c r="B3" s="44" t="s">
        <v>170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5" spans="2:12" ht="39.950000000000003" customHeight="1" x14ac:dyDescent="0.25">
      <c r="B5" s="6" t="s">
        <v>171</v>
      </c>
      <c r="C5" s="6" t="s">
        <v>141</v>
      </c>
      <c r="D5" s="6" t="s">
        <v>172</v>
      </c>
      <c r="E5" s="6" t="s">
        <v>173</v>
      </c>
      <c r="F5" s="6" t="s">
        <v>174</v>
      </c>
      <c r="G5" s="6" t="s">
        <v>175</v>
      </c>
      <c r="H5" s="6" t="s">
        <v>176</v>
      </c>
      <c r="I5" s="6" t="s">
        <v>177</v>
      </c>
      <c r="J5" s="6" t="s">
        <v>178</v>
      </c>
      <c r="K5" s="6" t="s">
        <v>179</v>
      </c>
      <c r="L5" s="6" t="s">
        <v>40</v>
      </c>
    </row>
    <row r="6" spans="2:12" ht="25.5" x14ac:dyDescent="0.25">
      <c r="B6" s="5" t="s">
        <v>180</v>
      </c>
      <c r="C6" s="22">
        <v>100</v>
      </c>
      <c r="D6" s="27">
        <v>1E-3</v>
      </c>
      <c r="E6" s="28">
        <v>0.25</v>
      </c>
      <c r="F6" s="24">
        <f t="shared" ref="F6:F12" si="0">C6*D6</f>
        <v>0.1</v>
      </c>
      <c r="G6" s="19">
        <f t="shared" ref="G6:G12" si="1">C6*D6*E6</f>
        <v>2.5000000000000001E-2</v>
      </c>
      <c r="H6" s="29">
        <f t="shared" ref="H6:H13" si="2">G6/C6*10000</f>
        <v>2.5</v>
      </c>
      <c r="I6" s="24">
        <f t="shared" ref="I6:I12" si="3">C6*K6*SQRT(E6^2*D6+D6*(1-2*D6)*(1-D6))</f>
        <v>0.39059990783409049</v>
      </c>
      <c r="J6" s="30">
        <f t="shared" ref="J6:J12" si="4">(C6*0.06-G6)/(I6*0.08+0.01)</f>
        <v>144.85553403945315</v>
      </c>
      <c r="K6" s="28">
        <v>0.12</v>
      </c>
      <c r="L6" s="7" t="s">
        <v>181</v>
      </c>
    </row>
    <row r="7" spans="2:12" x14ac:dyDescent="0.25">
      <c r="B7" s="5" t="s">
        <v>182</v>
      </c>
      <c r="C7" s="22">
        <v>150</v>
      </c>
      <c r="D7" s="27">
        <v>3.0000000000000001E-3</v>
      </c>
      <c r="E7" s="28">
        <v>0.3</v>
      </c>
      <c r="F7" s="24">
        <f t="shared" si="0"/>
        <v>0.45</v>
      </c>
      <c r="G7" s="19">
        <f t="shared" si="1"/>
        <v>0.13500000000000001</v>
      </c>
      <c r="H7" s="29">
        <f t="shared" si="2"/>
        <v>9</v>
      </c>
      <c r="I7" s="24">
        <f t="shared" si="3"/>
        <v>1.195904182616651</v>
      </c>
      <c r="J7" s="30">
        <f t="shared" si="4"/>
        <v>83.891399132740645</v>
      </c>
      <c r="K7" s="28">
        <v>0.14000000000000001</v>
      </c>
      <c r="L7" s="7" t="s">
        <v>183</v>
      </c>
    </row>
    <row r="8" spans="2:12" ht="25.5" x14ac:dyDescent="0.25">
      <c r="B8" s="5" t="s">
        <v>184</v>
      </c>
      <c r="C8" s="22">
        <v>200</v>
      </c>
      <c r="D8" s="27">
        <v>8.0000000000000002E-3</v>
      </c>
      <c r="E8" s="28">
        <v>0.35</v>
      </c>
      <c r="F8" s="24">
        <f t="shared" si="0"/>
        <v>1.6</v>
      </c>
      <c r="G8" s="19">
        <f t="shared" si="1"/>
        <v>0.55999999999999994</v>
      </c>
      <c r="H8" s="29">
        <f t="shared" si="2"/>
        <v>27.999999999999996</v>
      </c>
      <c r="I8" s="24">
        <f t="shared" si="3"/>
        <v>2.9999934293261377</v>
      </c>
      <c r="J8" s="30">
        <f t="shared" si="4"/>
        <v>45.760096215893803</v>
      </c>
      <c r="K8" s="28">
        <v>0.16</v>
      </c>
      <c r="L8" s="7" t="s">
        <v>185</v>
      </c>
    </row>
    <row r="9" spans="2:12" x14ac:dyDescent="0.25">
      <c r="B9" s="31" t="s">
        <v>186</v>
      </c>
      <c r="C9" s="22">
        <v>200</v>
      </c>
      <c r="D9" s="27">
        <v>0.02</v>
      </c>
      <c r="E9" s="28">
        <v>0.4</v>
      </c>
      <c r="F9" s="24">
        <f t="shared" si="0"/>
        <v>4</v>
      </c>
      <c r="G9" s="19">
        <f t="shared" si="1"/>
        <v>1.6</v>
      </c>
      <c r="H9" s="29">
        <f t="shared" si="2"/>
        <v>80</v>
      </c>
      <c r="I9" s="24">
        <f t="shared" si="3"/>
        <v>5.9351158371172508</v>
      </c>
      <c r="J9" s="30">
        <f t="shared" si="4"/>
        <v>21.451735163834751</v>
      </c>
      <c r="K9" s="28">
        <v>0.2</v>
      </c>
      <c r="L9" s="7" t="s">
        <v>187</v>
      </c>
    </row>
    <row r="10" spans="2:12" x14ac:dyDescent="0.25">
      <c r="B10" s="31" t="s">
        <v>188</v>
      </c>
      <c r="C10" s="22">
        <v>200</v>
      </c>
      <c r="D10" s="27">
        <v>0.05</v>
      </c>
      <c r="E10" s="28">
        <v>0.5</v>
      </c>
      <c r="F10" s="24">
        <f t="shared" si="0"/>
        <v>10</v>
      </c>
      <c r="G10" s="19">
        <f t="shared" si="1"/>
        <v>5</v>
      </c>
      <c r="H10" s="29">
        <f t="shared" si="2"/>
        <v>250</v>
      </c>
      <c r="I10" s="24">
        <f t="shared" si="3"/>
        <v>11.752659273543159</v>
      </c>
      <c r="J10" s="30">
        <f t="shared" si="4"/>
        <v>7.3667713465145024</v>
      </c>
      <c r="K10" s="28">
        <v>0.25</v>
      </c>
      <c r="L10" s="7" t="s">
        <v>189</v>
      </c>
    </row>
    <row r="11" spans="2:12" x14ac:dyDescent="0.25">
      <c r="B11" s="32" t="s">
        <v>190</v>
      </c>
      <c r="C11" s="22">
        <v>100</v>
      </c>
      <c r="D11" s="27">
        <v>0.15</v>
      </c>
      <c r="E11" s="28">
        <v>0.6</v>
      </c>
      <c r="F11" s="24">
        <f t="shared" si="0"/>
        <v>15</v>
      </c>
      <c r="G11" s="19">
        <f t="shared" si="1"/>
        <v>9</v>
      </c>
      <c r="H11" s="29">
        <f t="shared" si="2"/>
        <v>900</v>
      </c>
      <c r="I11" s="24">
        <f t="shared" si="3"/>
        <v>13.246933607442893</v>
      </c>
      <c r="J11" s="30">
        <f t="shared" si="4"/>
        <v>-2.8043812586032653</v>
      </c>
      <c r="K11" s="28">
        <v>0.35</v>
      </c>
      <c r="L11" s="7" t="s">
        <v>191</v>
      </c>
    </row>
    <row r="12" spans="2:12" x14ac:dyDescent="0.25">
      <c r="B12" s="32" t="s">
        <v>192</v>
      </c>
      <c r="C12" s="22">
        <v>50</v>
      </c>
      <c r="D12" s="27">
        <v>0.35</v>
      </c>
      <c r="E12" s="28">
        <v>0.75</v>
      </c>
      <c r="F12" s="24">
        <f t="shared" si="0"/>
        <v>17.5</v>
      </c>
      <c r="G12" s="19">
        <f t="shared" si="1"/>
        <v>13.125</v>
      </c>
      <c r="H12" s="29">
        <f t="shared" si="2"/>
        <v>2625</v>
      </c>
      <c r="I12" s="24">
        <f t="shared" si="3"/>
        <v>11.585315328034882</v>
      </c>
      <c r="J12" s="30">
        <f t="shared" si="4"/>
        <v>-10.807778992680511</v>
      </c>
      <c r="K12" s="28">
        <v>0.45</v>
      </c>
      <c r="L12" s="7" t="s">
        <v>193</v>
      </c>
    </row>
    <row r="13" spans="2:12" x14ac:dyDescent="0.25">
      <c r="B13" s="13" t="s">
        <v>194</v>
      </c>
      <c r="C13" s="19">
        <f>SUM(C6:C12)</f>
        <v>1000</v>
      </c>
      <c r="D13" s="25"/>
      <c r="E13" s="25"/>
      <c r="F13" s="19">
        <f>SUM(F6:F12)</f>
        <v>48.65</v>
      </c>
      <c r="G13" s="19">
        <f>SUM(G6:G12)</f>
        <v>29.445</v>
      </c>
      <c r="H13" s="33">
        <f t="shared" si="2"/>
        <v>294.45</v>
      </c>
      <c r="I13" s="19">
        <f>SUM(I6:I12)</f>
        <v>47.10652156591506</v>
      </c>
      <c r="J13" s="25"/>
      <c r="K13" s="25"/>
      <c r="L13" s="14" t="s">
        <v>195</v>
      </c>
    </row>
    <row r="15" spans="2:12" x14ac:dyDescent="0.25">
      <c r="B15" s="48" t="s">
        <v>196</v>
      </c>
      <c r="C15" s="41"/>
      <c r="D15" s="41"/>
      <c r="E15" s="41"/>
      <c r="F15" s="41"/>
      <c r="G15" s="41"/>
      <c r="H15" s="41"/>
      <c r="I15" s="41"/>
      <c r="J15" s="41"/>
      <c r="K15" s="41"/>
      <c r="L15" s="49"/>
    </row>
    <row r="17" spans="2:12" x14ac:dyDescent="0.25">
      <c r="B17" s="54" t="s">
        <v>197</v>
      </c>
      <c r="C17" s="56"/>
      <c r="D17" s="56"/>
      <c r="E17" s="34">
        <f>G13/C13</f>
        <v>2.9444999999999999E-2</v>
      </c>
      <c r="F17" s="45" t="s">
        <v>198</v>
      </c>
      <c r="G17" s="41"/>
      <c r="H17" s="41"/>
      <c r="I17" s="41"/>
      <c r="J17" s="41"/>
      <c r="K17" s="41"/>
      <c r="L17" s="41"/>
    </row>
    <row r="18" spans="2:12" x14ac:dyDescent="0.25">
      <c r="B18" s="54" t="s">
        <v>199</v>
      </c>
      <c r="C18" s="56"/>
      <c r="D18" s="56"/>
      <c r="E18" s="34">
        <f>I13/C13</f>
        <v>4.7106521565915056E-2</v>
      </c>
      <c r="F18" s="45" t="s">
        <v>200</v>
      </c>
      <c r="G18" s="41"/>
      <c r="H18" s="41"/>
      <c r="I18" s="41"/>
      <c r="J18" s="41"/>
      <c r="K18" s="41"/>
      <c r="L18" s="41"/>
    </row>
    <row r="19" spans="2:12" x14ac:dyDescent="0.25">
      <c r="B19" s="54" t="s">
        <v>201</v>
      </c>
      <c r="C19" s="56"/>
      <c r="D19" s="56"/>
      <c r="E19" s="35">
        <f>G13/I13</f>
        <v>0.62507268677858752</v>
      </c>
      <c r="F19" s="45" t="s">
        <v>202</v>
      </c>
      <c r="G19" s="41"/>
      <c r="H19" s="41"/>
      <c r="I19" s="41"/>
      <c r="J19" s="41"/>
      <c r="K19" s="41"/>
      <c r="L19" s="41"/>
    </row>
    <row r="20" spans="2:12" x14ac:dyDescent="0.25">
      <c r="B20" s="54" t="s">
        <v>203</v>
      </c>
      <c r="C20" s="56"/>
      <c r="D20" s="56"/>
      <c r="E20" s="36" t="str">
        <f>INDEX(B6:B12,MATCH(MAX(C6:C12),C6:C12,0))</f>
        <v>A</v>
      </c>
      <c r="F20" s="45" t="s">
        <v>204</v>
      </c>
      <c r="G20" s="41"/>
      <c r="H20" s="41"/>
      <c r="I20" s="41"/>
      <c r="J20" s="41"/>
      <c r="K20" s="41"/>
      <c r="L20" s="41"/>
    </row>
    <row r="22" spans="2:12" x14ac:dyDescent="0.25">
      <c r="B22" s="50" t="s">
        <v>205</v>
      </c>
      <c r="C22" s="41"/>
      <c r="D22" s="41"/>
      <c r="E22" s="41"/>
      <c r="F22" s="41"/>
      <c r="G22" s="41"/>
      <c r="H22" s="41"/>
      <c r="I22" s="41"/>
      <c r="J22" s="41"/>
      <c r="K22" s="41"/>
      <c r="L22" s="51"/>
    </row>
    <row r="23" spans="2:12" x14ac:dyDescent="0.25">
      <c r="B23" s="54" t="s">
        <v>206</v>
      </c>
      <c r="C23" s="46"/>
      <c r="D23" s="46"/>
      <c r="E23" s="46"/>
      <c r="F23" s="46"/>
      <c r="G23" s="46"/>
      <c r="H23" s="46"/>
      <c r="I23" s="46"/>
      <c r="J23" s="46"/>
      <c r="K23" s="46"/>
      <c r="L23" s="47"/>
    </row>
    <row r="24" spans="2:12" x14ac:dyDescent="0.25">
      <c r="B24" s="54" t="s">
        <v>207</v>
      </c>
      <c r="C24" s="46"/>
      <c r="D24" s="46"/>
      <c r="E24" s="46"/>
      <c r="F24" s="46"/>
      <c r="G24" s="46"/>
      <c r="H24" s="46"/>
      <c r="I24" s="46"/>
      <c r="J24" s="46"/>
      <c r="K24" s="46"/>
      <c r="L24" s="47"/>
    </row>
    <row r="25" spans="2:12" x14ac:dyDescent="0.25">
      <c r="B25" s="54" t="s">
        <v>208</v>
      </c>
      <c r="C25" s="46"/>
      <c r="D25" s="46"/>
      <c r="E25" s="46"/>
      <c r="F25" s="46"/>
      <c r="G25" s="46"/>
      <c r="H25" s="46"/>
      <c r="I25" s="46"/>
      <c r="J25" s="46"/>
      <c r="K25" s="46"/>
      <c r="L25" s="47"/>
    </row>
    <row r="26" spans="2:12" x14ac:dyDescent="0.25">
      <c r="B26" s="54" t="s">
        <v>209</v>
      </c>
      <c r="C26" s="46"/>
      <c r="D26" s="46"/>
      <c r="E26" s="46"/>
      <c r="F26" s="46"/>
      <c r="G26" s="46"/>
      <c r="H26" s="46"/>
      <c r="I26" s="46"/>
      <c r="J26" s="46"/>
      <c r="K26" s="46"/>
      <c r="L26" s="47"/>
    </row>
    <row r="27" spans="2:12" x14ac:dyDescent="0.25">
      <c r="B27" s="54" t="s">
        <v>210</v>
      </c>
      <c r="C27" s="46"/>
      <c r="D27" s="46"/>
      <c r="E27" s="46"/>
      <c r="F27" s="46"/>
      <c r="G27" s="46"/>
      <c r="H27" s="46"/>
      <c r="I27" s="46"/>
      <c r="J27" s="46"/>
      <c r="K27" s="46"/>
      <c r="L27" s="47"/>
    </row>
  </sheetData>
  <mergeCells count="17">
    <mergeCell ref="B27:L27"/>
    <mergeCell ref="F18:L18"/>
    <mergeCell ref="B3:L3"/>
    <mergeCell ref="B2:L2"/>
    <mergeCell ref="B17:D17"/>
    <mergeCell ref="B18:D18"/>
    <mergeCell ref="B24:L24"/>
    <mergeCell ref="F20:L20"/>
    <mergeCell ref="B22:L22"/>
    <mergeCell ref="F19:L19"/>
    <mergeCell ref="B26:L26"/>
    <mergeCell ref="B19:D19"/>
    <mergeCell ref="B20:D20"/>
    <mergeCell ref="F17:L17"/>
    <mergeCell ref="B15:L15"/>
    <mergeCell ref="B25:L25"/>
    <mergeCell ref="B23:L2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4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20" customWidth="1"/>
    <col min="3" max="3" width="14" customWidth="1"/>
    <col min="4" max="6" width="12" customWidth="1"/>
    <col min="7" max="10" width="14" customWidth="1"/>
    <col min="11" max="11" width="34" customWidth="1"/>
  </cols>
  <sheetData>
    <row r="2" spans="2:11" ht="26.1" customHeight="1" x14ac:dyDescent="0.25">
      <c r="B2" s="42" t="s">
        <v>211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x14ac:dyDescent="0.25">
      <c r="B3" s="44" t="s">
        <v>212</v>
      </c>
      <c r="C3" s="41"/>
      <c r="D3" s="41"/>
      <c r="E3" s="41"/>
      <c r="F3" s="41"/>
      <c r="G3" s="41"/>
      <c r="H3" s="41"/>
      <c r="I3" s="41"/>
      <c r="J3" s="41"/>
      <c r="K3" s="41"/>
    </row>
    <row r="5" spans="2:11" x14ac:dyDescent="0.25">
      <c r="B5" s="50" t="s">
        <v>213</v>
      </c>
      <c r="C5" s="41"/>
      <c r="D5" s="41"/>
      <c r="E5" s="41"/>
      <c r="F5" s="41"/>
      <c r="G5" s="41"/>
      <c r="H5" s="41"/>
      <c r="I5" s="41"/>
      <c r="J5" s="41"/>
      <c r="K5" s="51"/>
    </row>
    <row r="7" spans="2:11" x14ac:dyDescent="0.25">
      <c r="B7" s="6" t="s">
        <v>62</v>
      </c>
      <c r="C7" s="6" t="s">
        <v>39</v>
      </c>
      <c r="D7" s="52" t="s">
        <v>40</v>
      </c>
      <c r="E7" s="41"/>
      <c r="F7" s="41"/>
      <c r="G7" s="41"/>
      <c r="H7" s="41"/>
      <c r="I7" s="41"/>
      <c r="J7" s="41"/>
      <c r="K7" s="41"/>
    </row>
    <row r="8" spans="2:11" x14ac:dyDescent="0.25">
      <c r="B8" s="3" t="s">
        <v>214</v>
      </c>
      <c r="C8" s="8">
        <v>0.02</v>
      </c>
      <c r="D8" s="45" t="s">
        <v>215</v>
      </c>
      <c r="E8" s="41"/>
      <c r="F8" s="41"/>
      <c r="G8" s="41"/>
      <c r="H8" s="41"/>
      <c r="I8" s="41"/>
      <c r="J8" s="41"/>
      <c r="K8" s="41"/>
    </row>
    <row r="9" spans="2:11" x14ac:dyDescent="0.25">
      <c r="B9" s="3" t="s">
        <v>173</v>
      </c>
      <c r="C9" s="8">
        <v>0.4</v>
      </c>
      <c r="D9" s="45" t="s">
        <v>216</v>
      </c>
      <c r="E9" s="41"/>
      <c r="F9" s="41"/>
      <c r="G9" s="41"/>
      <c r="H9" s="41"/>
      <c r="I9" s="41"/>
      <c r="J9" s="41"/>
      <c r="K9" s="41"/>
    </row>
    <row r="10" spans="2:11" x14ac:dyDescent="0.25">
      <c r="B10" s="3" t="s">
        <v>217</v>
      </c>
      <c r="C10" s="8">
        <v>500</v>
      </c>
      <c r="D10" s="45" t="s">
        <v>218</v>
      </c>
      <c r="E10" s="41"/>
      <c r="F10" s="41"/>
      <c r="G10" s="41"/>
      <c r="H10" s="41"/>
      <c r="I10" s="41"/>
      <c r="J10" s="41"/>
      <c r="K10" s="41"/>
    </row>
    <row r="11" spans="2:11" x14ac:dyDescent="0.25">
      <c r="B11" s="3" t="s">
        <v>219</v>
      </c>
      <c r="C11" s="8">
        <v>2.5</v>
      </c>
      <c r="D11" s="45" t="s">
        <v>220</v>
      </c>
      <c r="E11" s="41"/>
      <c r="F11" s="41"/>
      <c r="G11" s="41"/>
      <c r="H11" s="41"/>
      <c r="I11" s="41"/>
      <c r="J11" s="41"/>
      <c r="K11" s="41"/>
    </row>
    <row r="12" spans="2:11" x14ac:dyDescent="0.25">
      <c r="B12" s="3" t="s">
        <v>221</v>
      </c>
      <c r="C12" s="37" t="s">
        <v>222</v>
      </c>
      <c r="D12" s="45" t="s">
        <v>223</v>
      </c>
      <c r="E12" s="41"/>
      <c r="F12" s="41"/>
      <c r="G12" s="41"/>
      <c r="H12" s="41"/>
      <c r="I12" s="41"/>
      <c r="J12" s="41"/>
      <c r="K12" s="41"/>
    </row>
    <row r="13" spans="2:11" x14ac:dyDescent="0.25">
      <c r="B13" s="3" t="s">
        <v>224</v>
      </c>
      <c r="C13" s="37" t="s">
        <v>222</v>
      </c>
      <c r="D13" s="45" t="s">
        <v>225</v>
      </c>
      <c r="E13" s="41"/>
      <c r="F13" s="41"/>
      <c r="G13" s="41"/>
      <c r="H13" s="41"/>
      <c r="I13" s="41"/>
      <c r="J13" s="41"/>
      <c r="K13" s="41"/>
    </row>
    <row r="15" spans="2:11" x14ac:dyDescent="0.25">
      <c r="B15" s="9" t="s">
        <v>226</v>
      </c>
      <c r="C15" s="10">
        <f>0.12*(1-EXP(-50*C8))/(1-EXP(-50))+0.24*(1-(1-EXP(-50*C8))/(1-EXP(-50)))</f>
        <v>0.16414553294057307</v>
      </c>
      <c r="D15" s="45" t="s">
        <v>227</v>
      </c>
      <c r="E15" s="41"/>
      <c r="F15" s="41"/>
      <c r="G15" s="41"/>
      <c r="H15" s="41"/>
      <c r="I15" s="41"/>
      <c r="J15" s="41"/>
      <c r="K15" s="41"/>
    </row>
    <row r="16" spans="2:11" x14ac:dyDescent="0.25">
      <c r="B16" s="9" t="s">
        <v>228</v>
      </c>
      <c r="C16" s="10">
        <f>(0.11852-0.05478*LN(C8))^2</f>
        <v>0.11076956525517692</v>
      </c>
      <c r="D16" s="45" t="s">
        <v>229</v>
      </c>
      <c r="E16" s="41"/>
      <c r="F16" s="41"/>
      <c r="G16" s="41"/>
      <c r="H16" s="41"/>
      <c r="I16" s="41"/>
      <c r="J16" s="41"/>
      <c r="K16" s="41"/>
    </row>
    <row r="17" spans="2:11" x14ac:dyDescent="0.25">
      <c r="B17" s="9" t="s">
        <v>230</v>
      </c>
      <c r="C17" s="21">
        <f>(C9*NORMSDIST((1-C15)^-0.5*NORMSINV(C8)+(C15/(1-C15))^0.5*NORMSINV(0.999))-C9*C8)*(1+(C11-2.5)*C16)</f>
        <v>6.8103608375000929E-2</v>
      </c>
      <c r="D17" s="45" t="s">
        <v>231</v>
      </c>
      <c r="E17" s="41"/>
      <c r="F17" s="41"/>
      <c r="G17" s="41"/>
      <c r="H17" s="41"/>
      <c r="I17" s="41"/>
      <c r="J17" s="41"/>
      <c r="K17" s="41"/>
    </row>
    <row r="18" spans="2:11" x14ac:dyDescent="0.25">
      <c r="B18" s="9" t="s">
        <v>232</v>
      </c>
      <c r="C18" s="19">
        <f>C10*C17*12.5</f>
        <v>425.64755234375582</v>
      </c>
      <c r="D18" s="53" t="s">
        <v>233</v>
      </c>
      <c r="E18" s="41"/>
      <c r="F18" s="41"/>
      <c r="G18" s="41"/>
      <c r="H18" s="41"/>
      <c r="I18" s="41"/>
      <c r="J18" s="41"/>
      <c r="K18" s="41"/>
    </row>
    <row r="19" spans="2:11" ht="30" x14ac:dyDescent="0.25">
      <c r="B19" s="9" t="s">
        <v>234</v>
      </c>
      <c r="C19" s="19">
        <f>C18*0.08</f>
        <v>34.051804187500466</v>
      </c>
      <c r="D19" s="45" t="s">
        <v>235</v>
      </c>
      <c r="E19" s="41"/>
      <c r="F19" s="41"/>
      <c r="G19" s="41"/>
      <c r="H19" s="41"/>
      <c r="I19" s="41"/>
      <c r="J19" s="41"/>
      <c r="K19" s="41"/>
    </row>
    <row r="20" spans="2:11" ht="30" x14ac:dyDescent="0.25">
      <c r="B20" s="9" t="s">
        <v>236</v>
      </c>
      <c r="C20" s="16">
        <f>C10*1</f>
        <v>500</v>
      </c>
      <c r="D20" s="55" t="s">
        <v>237</v>
      </c>
      <c r="E20" s="41"/>
      <c r="F20" s="41"/>
      <c r="G20" s="41"/>
      <c r="H20" s="41"/>
      <c r="I20" s="41"/>
      <c r="J20" s="41"/>
      <c r="K20" s="41"/>
    </row>
    <row r="21" spans="2:11" ht="30" x14ac:dyDescent="0.25">
      <c r="B21" s="9" t="s">
        <v>238</v>
      </c>
      <c r="C21" s="38">
        <f>(C20-C18)/C20</f>
        <v>0.14870489531248837</v>
      </c>
      <c r="D21" s="57" t="s">
        <v>239</v>
      </c>
      <c r="E21" s="41"/>
      <c r="F21" s="41"/>
      <c r="G21" s="41"/>
      <c r="H21" s="41"/>
      <c r="I21" s="41"/>
      <c r="J21" s="41"/>
      <c r="K21" s="41"/>
    </row>
    <row r="23" spans="2:11" x14ac:dyDescent="0.25">
      <c r="B23" s="50" t="s">
        <v>240</v>
      </c>
      <c r="C23" s="41"/>
      <c r="D23" s="41"/>
      <c r="E23" s="41"/>
      <c r="F23" s="41"/>
      <c r="G23" s="41"/>
      <c r="H23" s="41"/>
      <c r="I23" s="41"/>
      <c r="J23" s="41"/>
      <c r="K23" s="51"/>
    </row>
    <row r="25" spans="2:11" x14ac:dyDescent="0.25">
      <c r="B25" s="6" t="s">
        <v>62</v>
      </c>
      <c r="C25" s="6" t="s">
        <v>39</v>
      </c>
      <c r="D25" s="52" t="s">
        <v>40</v>
      </c>
      <c r="E25" s="41"/>
      <c r="F25" s="41"/>
      <c r="G25" s="41"/>
      <c r="H25" s="41"/>
      <c r="I25" s="41"/>
      <c r="J25" s="41"/>
      <c r="K25" s="41"/>
    </row>
    <row r="26" spans="2:11" x14ac:dyDescent="0.25">
      <c r="B26" s="3" t="s">
        <v>241</v>
      </c>
      <c r="C26" s="8">
        <v>0.05</v>
      </c>
      <c r="D26" s="45" t="s">
        <v>242</v>
      </c>
      <c r="E26" s="41"/>
      <c r="F26" s="41"/>
      <c r="G26" s="41"/>
      <c r="H26" s="41"/>
      <c r="I26" s="41"/>
      <c r="J26" s="41"/>
      <c r="K26" s="41"/>
    </row>
    <row r="27" spans="2:11" x14ac:dyDescent="0.25">
      <c r="B27" s="3" t="s">
        <v>243</v>
      </c>
      <c r="C27" s="8">
        <v>0.45</v>
      </c>
      <c r="D27" s="45" t="s">
        <v>244</v>
      </c>
      <c r="E27" s="41"/>
      <c r="F27" s="41"/>
      <c r="G27" s="41"/>
      <c r="H27" s="41"/>
      <c r="I27" s="41"/>
      <c r="J27" s="41"/>
      <c r="K27" s="41"/>
    </row>
    <row r="28" spans="2:11" x14ac:dyDescent="0.25">
      <c r="B28" s="3" t="s">
        <v>245</v>
      </c>
      <c r="C28" s="8">
        <v>500</v>
      </c>
      <c r="D28" s="45" t="s">
        <v>246</v>
      </c>
      <c r="E28" s="41"/>
      <c r="F28" s="41"/>
      <c r="G28" s="41"/>
      <c r="H28" s="41"/>
      <c r="I28" s="41"/>
      <c r="J28" s="41"/>
      <c r="K28" s="41"/>
    </row>
    <row r="30" spans="2:11" x14ac:dyDescent="0.25">
      <c r="B30" s="9" t="s">
        <v>247</v>
      </c>
      <c r="C30" s="10">
        <f>0.03*(1-EXP(-35*C26))/(1-EXP(-35))+0.16*(1-(1-EXP(-35*C26))/(1-EXP(-35)))</f>
        <v>5.25906126485578E-2</v>
      </c>
      <c r="D30" s="45" t="s">
        <v>248</v>
      </c>
      <c r="E30" s="41"/>
      <c r="F30" s="41"/>
      <c r="G30" s="41"/>
      <c r="H30" s="41"/>
      <c r="I30" s="41"/>
      <c r="J30" s="41"/>
      <c r="K30" s="41"/>
    </row>
    <row r="31" spans="2:11" x14ac:dyDescent="0.25">
      <c r="B31" s="9" t="s">
        <v>249</v>
      </c>
      <c r="C31" s="21">
        <f>C27*NORMSDIST((1-C30)^-0.5*NORMSINV(C26)+(C30/(1-C30))^0.5*NORMSINV(0.999))-C27*C26</f>
        <v>5.3132134751097737E-2</v>
      </c>
      <c r="D31" s="45" t="s">
        <v>250</v>
      </c>
      <c r="E31" s="41"/>
      <c r="F31" s="41"/>
      <c r="G31" s="41"/>
      <c r="H31" s="41"/>
      <c r="I31" s="41"/>
      <c r="J31" s="41"/>
      <c r="K31" s="41"/>
    </row>
    <row r="32" spans="2:11" x14ac:dyDescent="0.25">
      <c r="B32" s="9" t="s">
        <v>251</v>
      </c>
      <c r="C32" s="19">
        <f>C28*C31*12.5</f>
        <v>332.07584219436086</v>
      </c>
      <c r="D32" s="53" t="s">
        <v>252</v>
      </c>
      <c r="E32" s="41"/>
      <c r="F32" s="41"/>
      <c r="G32" s="41"/>
      <c r="H32" s="41"/>
      <c r="I32" s="41"/>
      <c r="J32" s="41"/>
      <c r="K32" s="41"/>
    </row>
    <row r="34" spans="2:11" x14ac:dyDescent="0.25">
      <c r="B34" s="48" t="s">
        <v>253</v>
      </c>
      <c r="C34" s="41"/>
      <c r="D34" s="41"/>
      <c r="E34" s="41"/>
      <c r="F34" s="41"/>
      <c r="G34" s="41"/>
      <c r="H34" s="41"/>
      <c r="I34" s="41"/>
      <c r="J34" s="41"/>
      <c r="K34" s="49"/>
    </row>
    <row r="36" spans="2:11" x14ac:dyDescent="0.25">
      <c r="B36" s="54" t="s">
        <v>254</v>
      </c>
      <c r="C36" s="46"/>
      <c r="D36" s="46"/>
      <c r="E36" s="46"/>
      <c r="F36" s="46"/>
      <c r="G36" s="46"/>
      <c r="H36" s="46"/>
      <c r="I36" s="46"/>
      <c r="J36" s="46"/>
      <c r="K36" s="47"/>
    </row>
    <row r="37" spans="2:11" x14ac:dyDescent="0.25">
      <c r="B37" s="54" t="s">
        <v>255</v>
      </c>
      <c r="C37" s="46"/>
      <c r="D37" s="46"/>
      <c r="E37" s="46"/>
      <c r="F37" s="46"/>
      <c r="G37" s="46"/>
      <c r="H37" s="46"/>
      <c r="I37" s="46"/>
      <c r="J37" s="46"/>
      <c r="K37" s="47"/>
    </row>
    <row r="38" spans="2:11" x14ac:dyDescent="0.25">
      <c r="B38" s="54" t="s">
        <v>256</v>
      </c>
      <c r="C38" s="46"/>
      <c r="D38" s="46"/>
      <c r="E38" s="46"/>
      <c r="F38" s="46"/>
      <c r="G38" s="46"/>
      <c r="H38" s="46"/>
      <c r="I38" s="46"/>
      <c r="J38" s="46"/>
      <c r="K38" s="47"/>
    </row>
    <row r="39" spans="2:11" x14ac:dyDescent="0.25">
      <c r="B39" s="54" t="s">
        <v>257</v>
      </c>
      <c r="C39" s="46"/>
      <c r="D39" s="46"/>
      <c r="E39" s="46"/>
      <c r="F39" s="46"/>
      <c r="G39" s="46"/>
      <c r="H39" s="46"/>
      <c r="I39" s="46"/>
      <c r="J39" s="46"/>
      <c r="K39" s="47"/>
    </row>
    <row r="40" spans="2:11" x14ac:dyDescent="0.25">
      <c r="B40" s="54" t="s">
        <v>258</v>
      </c>
      <c r="C40" s="46"/>
      <c r="D40" s="46"/>
      <c r="E40" s="46"/>
      <c r="F40" s="46"/>
      <c r="G40" s="46"/>
      <c r="H40" s="46"/>
      <c r="I40" s="46"/>
      <c r="J40" s="46"/>
      <c r="K40" s="47"/>
    </row>
  </sheetData>
  <mergeCells count="31">
    <mergeCell ref="B2:K2"/>
    <mergeCell ref="D18:K18"/>
    <mergeCell ref="D12:K12"/>
    <mergeCell ref="D9:K9"/>
    <mergeCell ref="B23:K23"/>
    <mergeCell ref="D8:K8"/>
    <mergeCell ref="D15:K15"/>
    <mergeCell ref="B3:K3"/>
    <mergeCell ref="D17:K17"/>
    <mergeCell ref="D7:K7"/>
    <mergeCell ref="D16:K16"/>
    <mergeCell ref="D28:K28"/>
    <mergeCell ref="D25:K25"/>
    <mergeCell ref="B5:K5"/>
    <mergeCell ref="B36:K36"/>
    <mergeCell ref="D21:K21"/>
    <mergeCell ref="D11:K11"/>
    <mergeCell ref="D13:K13"/>
    <mergeCell ref="D27:K27"/>
    <mergeCell ref="D32:K32"/>
    <mergeCell ref="D30:K30"/>
    <mergeCell ref="B34:K34"/>
    <mergeCell ref="D20:K20"/>
    <mergeCell ref="D26:K26"/>
    <mergeCell ref="B40:K40"/>
    <mergeCell ref="D19:K19"/>
    <mergeCell ref="D10:K10"/>
    <mergeCell ref="D31:K31"/>
    <mergeCell ref="B39:K39"/>
    <mergeCell ref="B38:K38"/>
    <mergeCell ref="B37:K3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37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2" customWidth="1"/>
    <col min="3" max="5" width="18" customWidth="1"/>
    <col min="6" max="6" width="30" customWidth="1"/>
  </cols>
  <sheetData>
    <row r="2" spans="2:6" ht="26.1" customHeight="1" x14ac:dyDescent="0.25">
      <c r="B2" s="42" t="s">
        <v>259</v>
      </c>
      <c r="C2" s="41"/>
      <c r="D2" s="41"/>
      <c r="E2" s="41"/>
      <c r="F2" s="41"/>
    </row>
    <row r="3" spans="2:6" x14ac:dyDescent="0.25">
      <c r="B3" s="44" t="s">
        <v>260</v>
      </c>
      <c r="C3" s="41"/>
      <c r="D3" s="41"/>
      <c r="E3" s="41"/>
      <c r="F3" s="41"/>
    </row>
    <row r="5" spans="2:6" ht="24" customHeight="1" x14ac:dyDescent="0.25">
      <c r="B5" s="6" t="s">
        <v>261</v>
      </c>
      <c r="C5" s="6" t="s">
        <v>39</v>
      </c>
      <c r="D5" s="6" t="s">
        <v>262</v>
      </c>
      <c r="E5" s="6" t="s">
        <v>263</v>
      </c>
      <c r="F5" s="6" t="s">
        <v>40</v>
      </c>
    </row>
    <row r="6" spans="2:6" x14ac:dyDescent="0.25">
      <c r="B6" s="3" t="s">
        <v>264</v>
      </c>
      <c r="C6" s="11">
        <f>'1_PD_LOGIT'!C20</f>
        <v>5.0068395787654964E-2</v>
      </c>
      <c r="D6" s="39" t="s">
        <v>265</v>
      </c>
      <c r="E6" s="39" t="s">
        <v>266</v>
      </c>
      <c r="F6" s="7" t="s">
        <v>267</v>
      </c>
    </row>
    <row r="7" spans="2:6" x14ac:dyDescent="0.25">
      <c r="B7" s="3" t="s">
        <v>268</v>
      </c>
      <c r="C7" s="11">
        <f>'1_PD_LOGIT'!C36</f>
        <v>5.0747618872484267E-2</v>
      </c>
      <c r="D7" s="39" t="s">
        <v>265</v>
      </c>
      <c r="E7" s="39" t="s">
        <v>266</v>
      </c>
      <c r="F7" s="7" t="s">
        <v>269</v>
      </c>
    </row>
    <row r="8" spans="2:6" x14ac:dyDescent="0.25">
      <c r="B8" s="3" t="s">
        <v>270</v>
      </c>
      <c r="C8" s="21">
        <f>'2_LGD'!C20</f>
        <v>0.32999999999999996</v>
      </c>
      <c r="D8" s="39" t="s">
        <v>271</v>
      </c>
      <c r="E8" s="39" t="s">
        <v>272</v>
      </c>
      <c r="F8" s="7" t="s">
        <v>273</v>
      </c>
    </row>
    <row r="9" spans="2:6" x14ac:dyDescent="0.25">
      <c r="B9" s="3" t="s">
        <v>274</v>
      </c>
      <c r="C9" s="19">
        <f>'4_EL_PORTOFOLIO'!C13</f>
        <v>1000</v>
      </c>
      <c r="D9" s="39" t="s">
        <v>275</v>
      </c>
      <c r="E9" s="39" t="s">
        <v>276</v>
      </c>
      <c r="F9" s="7" t="s">
        <v>277</v>
      </c>
    </row>
    <row r="10" spans="2:6" x14ac:dyDescent="0.25">
      <c r="B10" s="3" t="s">
        <v>278</v>
      </c>
      <c r="C10" s="19">
        <f>'4_EL_PORTOFOLIO'!G13</f>
        <v>29.445</v>
      </c>
      <c r="D10" s="39" t="s">
        <v>275</v>
      </c>
      <c r="E10" s="39" t="s">
        <v>276</v>
      </c>
      <c r="F10" s="7" t="s">
        <v>279</v>
      </c>
    </row>
    <row r="11" spans="2:6" x14ac:dyDescent="0.25">
      <c r="B11" s="3" t="s">
        <v>280</v>
      </c>
      <c r="C11" s="21">
        <f>'4_EL_PORTOFOLIO'!G13/'4_EL_PORTOFOLIO'!C13</f>
        <v>2.9444999999999999E-2</v>
      </c>
      <c r="D11" s="39" t="s">
        <v>271</v>
      </c>
      <c r="E11" s="39" t="s">
        <v>281</v>
      </c>
      <c r="F11" s="7" t="s">
        <v>282</v>
      </c>
    </row>
    <row r="12" spans="2:6" x14ac:dyDescent="0.25">
      <c r="B12" s="3" t="s">
        <v>283</v>
      </c>
      <c r="C12" s="19">
        <f>'5_BASEL_IRB'!C18</f>
        <v>425.64755234375582</v>
      </c>
      <c r="D12" s="39" t="s">
        <v>275</v>
      </c>
      <c r="E12" s="39" t="s">
        <v>284</v>
      </c>
      <c r="F12" s="7" t="s">
        <v>285</v>
      </c>
    </row>
    <row r="13" spans="2:6" x14ac:dyDescent="0.25">
      <c r="B13" s="3" t="s">
        <v>286</v>
      </c>
      <c r="C13" s="19">
        <f>'5_BASEL_IRB'!C32</f>
        <v>332.07584219436086</v>
      </c>
      <c r="D13" s="39" t="s">
        <v>275</v>
      </c>
      <c r="E13" s="39" t="s">
        <v>284</v>
      </c>
      <c r="F13" s="7" t="s">
        <v>287</v>
      </c>
    </row>
    <row r="15" spans="2:6" x14ac:dyDescent="0.25">
      <c r="B15" s="50" t="s">
        <v>288</v>
      </c>
      <c r="C15" s="41"/>
      <c r="D15" s="41"/>
      <c r="E15" s="41"/>
      <c r="F15" s="51"/>
    </row>
    <row r="17" spans="2:6" x14ac:dyDescent="0.25">
      <c r="B17" s="6" t="s">
        <v>289</v>
      </c>
      <c r="C17" s="6" t="s">
        <v>290</v>
      </c>
      <c r="D17" s="52" t="s">
        <v>291</v>
      </c>
      <c r="E17" s="41"/>
      <c r="F17" s="41"/>
    </row>
    <row r="18" spans="2:6" x14ac:dyDescent="0.25">
      <c r="B18" s="3" t="s">
        <v>292</v>
      </c>
      <c r="C18" s="15" t="str">
        <f>IF(ABS('1_PD_LOGIT'!C20-'1_PD_LOGIT'!C36)&lt;0.02,"OK","CEK")</f>
        <v>OK</v>
      </c>
      <c r="D18" s="45" t="s">
        <v>293</v>
      </c>
      <c r="E18" s="41"/>
      <c r="F18" s="41"/>
    </row>
    <row r="19" spans="2:6" x14ac:dyDescent="0.25">
      <c r="B19" s="3" t="s">
        <v>294</v>
      </c>
      <c r="C19" s="15" t="str">
        <f>IF(AND('2_LGD'!C20&gt;=0,'2_LGD'!C20&lt;=1),"OK","CEK")</f>
        <v>OK</v>
      </c>
      <c r="D19" s="45" t="s">
        <v>295</v>
      </c>
      <c r="E19" s="41"/>
      <c r="F19" s="41"/>
    </row>
    <row r="20" spans="2:6" x14ac:dyDescent="0.25">
      <c r="B20" s="3" t="s">
        <v>296</v>
      </c>
      <c r="C20" s="15" t="str">
        <f>IF(AND('1_PD_LOGIT'!C20&gt;=0,'1_PD_LOGIT'!C20&lt;=1),"OK","CEK")</f>
        <v>OK</v>
      </c>
      <c r="D20" s="45" t="s">
        <v>297</v>
      </c>
      <c r="E20" s="41"/>
      <c r="F20" s="41"/>
    </row>
    <row r="21" spans="2:6" x14ac:dyDescent="0.25">
      <c r="B21" s="3" t="s">
        <v>298</v>
      </c>
      <c r="C21" s="15" t="str">
        <f>IF('4_EL_PORTOFOLIO'!G13&lt;='4_EL_PORTOFOLIO'!C13,"OK","CEK")</f>
        <v>OK</v>
      </c>
      <c r="D21" s="45" t="s">
        <v>299</v>
      </c>
      <c r="E21" s="41"/>
      <c r="F21" s="41"/>
    </row>
    <row r="22" spans="2:6" x14ac:dyDescent="0.25">
      <c r="B22" s="3" t="s">
        <v>300</v>
      </c>
      <c r="C22" s="15" t="str">
        <f>IF('4_EL_PORTOFOLIO'!G13/'4_EL_PORTOFOLIO'!C13&lt;0.05,"OK","CEK")</f>
        <v>OK</v>
      </c>
      <c r="D22" s="45" t="s">
        <v>301</v>
      </c>
      <c r="E22" s="41"/>
      <c r="F22" s="41"/>
    </row>
    <row r="23" spans="2:6" x14ac:dyDescent="0.25">
      <c r="B23" s="3" t="s">
        <v>302</v>
      </c>
      <c r="C23" s="15" t="str">
        <f>IF('5_BASEL_IRB'!C18&gt;0,"OK","CEK")</f>
        <v>OK</v>
      </c>
      <c r="D23" s="45" t="s">
        <v>303</v>
      </c>
      <c r="E23" s="41"/>
      <c r="F23" s="41"/>
    </row>
    <row r="24" spans="2:6" x14ac:dyDescent="0.25">
      <c r="B24" s="3" t="s">
        <v>304</v>
      </c>
      <c r="C24" s="15" t="str">
        <f>IF('1_PD_LOGIT'!C20&gt;0,"OK","CEK")</f>
        <v>OK</v>
      </c>
      <c r="D24" s="45" t="s">
        <v>305</v>
      </c>
      <c r="E24" s="41"/>
      <c r="F24" s="41"/>
    </row>
    <row r="27" spans="2:6" x14ac:dyDescent="0.25">
      <c r="B27" s="48" t="s">
        <v>306</v>
      </c>
      <c r="C27" s="41"/>
      <c r="D27" s="41"/>
      <c r="E27" s="41"/>
      <c r="F27" s="49"/>
    </row>
    <row r="29" spans="2:6" x14ac:dyDescent="0.25">
      <c r="B29" s="54" t="s">
        <v>307</v>
      </c>
      <c r="C29" s="46"/>
      <c r="D29" s="46"/>
      <c r="E29" s="46"/>
      <c r="F29" s="47"/>
    </row>
    <row r="30" spans="2:6" x14ac:dyDescent="0.25">
      <c r="B30" s="54" t="s">
        <v>308</v>
      </c>
      <c r="C30" s="46"/>
      <c r="D30" s="46"/>
      <c r="E30" s="46"/>
      <c r="F30" s="47"/>
    </row>
    <row r="31" spans="2:6" x14ac:dyDescent="0.25">
      <c r="B31" s="54" t="s">
        <v>309</v>
      </c>
      <c r="C31" s="46"/>
      <c r="D31" s="46"/>
      <c r="E31" s="46"/>
      <c r="F31" s="47"/>
    </row>
    <row r="32" spans="2:6" x14ac:dyDescent="0.25">
      <c r="B32" s="54" t="s">
        <v>310</v>
      </c>
      <c r="C32" s="46"/>
      <c r="D32" s="46"/>
      <c r="E32" s="46"/>
      <c r="F32" s="47"/>
    </row>
    <row r="33" spans="2:6" x14ac:dyDescent="0.25">
      <c r="B33" s="54" t="s">
        <v>311</v>
      </c>
      <c r="C33" s="46"/>
      <c r="D33" s="46"/>
      <c r="E33" s="46"/>
      <c r="F33" s="47"/>
    </row>
    <row r="34" spans="2:6" x14ac:dyDescent="0.25">
      <c r="B34" s="54" t="s">
        <v>312</v>
      </c>
      <c r="C34" s="46"/>
      <c r="D34" s="46"/>
      <c r="E34" s="46"/>
      <c r="F34" s="47"/>
    </row>
    <row r="35" spans="2:6" x14ac:dyDescent="0.25">
      <c r="B35" s="54" t="s">
        <v>313</v>
      </c>
      <c r="C35" s="46"/>
      <c r="D35" s="46"/>
      <c r="E35" s="46"/>
      <c r="F35" s="47"/>
    </row>
    <row r="36" spans="2:6" x14ac:dyDescent="0.25">
      <c r="B36" s="54" t="s">
        <v>314</v>
      </c>
      <c r="C36" s="46"/>
      <c r="D36" s="46"/>
      <c r="E36" s="46"/>
      <c r="F36" s="47"/>
    </row>
    <row r="37" spans="2:6" x14ac:dyDescent="0.25">
      <c r="B37" s="54" t="s">
        <v>315</v>
      </c>
      <c r="C37" s="46"/>
      <c r="D37" s="46"/>
      <c r="E37" s="46"/>
      <c r="F37" s="47"/>
    </row>
  </sheetData>
  <mergeCells count="21">
    <mergeCell ref="B34:F34"/>
    <mergeCell ref="B37:F37"/>
    <mergeCell ref="D20:F20"/>
    <mergeCell ref="B30:F30"/>
    <mergeCell ref="D19:F19"/>
    <mergeCell ref="B33:F33"/>
    <mergeCell ref="D22:F22"/>
    <mergeCell ref="B36:F36"/>
    <mergeCell ref="B32:F32"/>
    <mergeCell ref="B35:F35"/>
    <mergeCell ref="B2:F2"/>
    <mergeCell ref="D18:F18"/>
    <mergeCell ref="D24:F24"/>
    <mergeCell ref="B29:F29"/>
    <mergeCell ref="D23:F23"/>
    <mergeCell ref="B15:F15"/>
    <mergeCell ref="B3:F3"/>
    <mergeCell ref="D17:F17"/>
    <mergeCell ref="B31:F31"/>
    <mergeCell ref="B27:F27"/>
    <mergeCell ref="D21:F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0_PETUNJUK</vt:lpstr>
      <vt:lpstr>1_PD_LOGIT</vt:lpstr>
      <vt:lpstr>2_LGD</vt:lpstr>
      <vt:lpstr>3_EAD</vt:lpstr>
      <vt:lpstr>4_EL_PORTOFOLIO</vt:lpstr>
      <vt:lpstr>5_BASEL_IRB</vt:lpstr>
      <vt:lpstr>6_RINGKASAN_CEK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2026-07-19T08:17:40Z</dcterms:created>
  <dcterms:modified xsi:type="dcterms:W3CDTF">2026-07-19T08:17:41Z</dcterms:modified>
</cp:coreProperties>
</file>