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00bf8c8dc2a59fb/Claude/Personal/atlas/05-Tech/stdsquare-hugo/static/excel/"/>
    </mc:Choice>
  </mc:AlternateContent>
  <xr:revisionPtr revIDLastSave="0" documentId="11_866D63A94570137E2AFB7909859AF9C55F14A001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0_PETUNJUK" sheetId="1" r:id="rId1"/>
    <sheet name="1_MODAL_CET1_AT1_T2" sheetId="2" r:id="rId2"/>
    <sheet name="2_RWA_STANDARDIZED" sheetId="3" r:id="rId3"/>
    <sheet name="3_RWA_IRB" sheetId="4" r:id="rId4"/>
    <sheet name="4_CAR_BUFFER" sheetId="5" r:id="rId5"/>
    <sheet name="5_LCR" sheetId="6" r:id="rId6"/>
    <sheet name="6_NSFR" sheetId="7" r:id="rId7"/>
    <sheet name="7_LEVERAG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F18" i="7"/>
  <c r="F17" i="7"/>
  <c r="F16" i="7"/>
  <c r="F15" i="7"/>
  <c r="F19" i="7" s="1"/>
  <c r="F10" i="7"/>
  <c r="F9" i="7"/>
  <c r="F8" i="7"/>
  <c r="F25" i="6"/>
  <c r="F24" i="6"/>
  <c r="F19" i="6"/>
  <c r="F18" i="6"/>
  <c r="F17" i="6"/>
  <c r="F16" i="6"/>
  <c r="F20" i="6" s="1"/>
  <c r="F15" i="6"/>
  <c r="F10" i="6"/>
  <c r="F9" i="6"/>
  <c r="F8" i="6"/>
  <c r="F7" i="6"/>
  <c r="F11" i="6" s="1"/>
  <c r="C24" i="5"/>
  <c r="C23" i="5"/>
  <c r="C22" i="5"/>
  <c r="C32" i="4"/>
  <c r="C31" i="4"/>
  <c r="C30" i="4"/>
  <c r="C29" i="4"/>
  <c r="C28" i="4"/>
  <c r="C27" i="4"/>
  <c r="C15" i="4"/>
  <c r="C14" i="4"/>
  <c r="C13" i="4"/>
  <c r="C18" i="4" s="1"/>
  <c r="C12" i="4"/>
  <c r="E17" i="3"/>
  <c r="C20" i="3" s="1"/>
  <c r="C23" i="3" s="1"/>
  <c r="C9" i="5" s="1"/>
  <c r="C17" i="3"/>
  <c r="E16" i="3"/>
  <c r="E15" i="3"/>
  <c r="E14" i="3"/>
  <c r="E13" i="3"/>
  <c r="E12" i="3"/>
  <c r="E11" i="3"/>
  <c r="E10" i="3"/>
  <c r="E9" i="3"/>
  <c r="E8" i="3"/>
  <c r="E7" i="3"/>
  <c r="E6" i="3"/>
  <c r="C21" i="2"/>
  <c r="C9" i="2"/>
  <c r="C12" i="2" s="1"/>
  <c r="C16" i="4" l="1"/>
  <c r="C17" i="4" s="1"/>
  <c r="C19" i="4" s="1"/>
  <c r="C22" i="4" s="1"/>
  <c r="C23" i="4" s="1"/>
  <c r="F26" i="6"/>
  <c r="C8" i="5"/>
  <c r="C14" i="5" s="1"/>
  <c r="C16" i="2"/>
  <c r="F27" i="6"/>
  <c r="F28" i="6" s="1"/>
  <c r="F31" i="6" s="1"/>
  <c r="F32" i="6" s="1"/>
  <c r="C11" i="8" l="1"/>
  <c r="C7" i="5"/>
  <c r="C13" i="5" s="1"/>
  <c r="C24" i="2"/>
  <c r="C6" i="5" l="1"/>
  <c r="C12" i="5" s="1"/>
  <c r="C7" i="7"/>
  <c r="F7" i="7" s="1"/>
  <c r="F11" i="7" s="1"/>
  <c r="F22" i="7" s="1"/>
  <c r="C14" i="8"/>
  <c r="C12" i="8"/>
  <c r="C25" i="5" l="1"/>
  <c r="C26" i="5"/>
</calcChain>
</file>

<file path=xl/sharedStrings.xml><?xml version="1.0" encoding="utf-8"?>
<sst xmlns="http://schemas.openxmlformats.org/spreadsheetml/2006/main" count="211" uniqueCount="200">
  <si>
    <t>CAR BASEL III — KALKULATOR 8-SHEET · PT Bank Nusantara Sejahtera</t>
  </si>
  <si>
    <t>Companion Excel untuk artikel stdsquare² 'Capital Adequacy Ratio (CAR) — Basel III dari Nol'. Semua sel hitam adalah FORMULA HIDUP — ubah sel biru (input) dan seluruh workbook menghitung ulang.</t>
  </si>
  <si>
    <t>ALUR KERJA:</t>
  </si>
  <si>
    <t>1. 1_MODAL_CET1_AT1_T2</t>
  </si>
  <si>
    <t>Komposisi modal regulatori bank: CET1 (setelah deduksi goodwill &amp; DTA), AT1, Tier 2. Hasil: Total Modal Rp 6.400 miliar.</t>
  </si>
  <si>
    <t>2. 2_RWA_STANDARDIZED</t>
  </si>
  <si>
    <t>RWA pendekatan KPMM/Standardized per POJK 12/2022 — SUMPRODUCT(saldo, risk weight) per kategori aset + RWA pasar + RWA operasional. Hasil: RWA Total Rp 25.000 miliar.</t>
  </si>
  <si>
    <t>3. 3_RWA_IRB</t>
  </si>
  <si>
    <t>Kalkulator RWA pendekatan IRB (KMK) memakai formula Basel penuh (_xlfn.NORM.S.INV / _xlfn.NORM.S.DIST) dari PD/LGD/EAD/Maturity. Live — ubah PD dan risk weight menghitung ulang. Tabel referensi PD menunjukkan hasil formula regulatori resmi (dapat sedikit berbeda dari angka ilustratif di teks artikel yang dibulatkan).</t>
  </si>
  <si>
    <t>4. 4_CAR_BUFFER</t>
  </si>
  <si>
    <t>CAR, Tier 1 ratio, CET1 ratio (link dari sheet 1 &amp; 2) + buffer Basel III (CCB 2,5%, CCyB, D-SIB surcharge via dropdown) → minimum efektif &amp; status kepatuhan.</t>
  </si>
  <si>
    <t>5. 5_LCR</t>
  </si>
  <si>
    <t>Liquidity Coverage Ratio: HQLA (SUMIF per level dengan haircut) vs Net Cash Outflow 30 hari (run-off rate per jenis dana, inflow di-cap 75% outflow). Hasil: LCR 200%.</t>
  </si>
  <si>
    <t>6. 6_NSFR</t>
  </si>
  <si>
    <t>Net Stable Funding Ratio: Available Stable Funding (ASF) vs Required Stable Funding (RSF), dibobotkan per kategori — ilustrasi struktur neraca disederhanakan. Hasil: NSFR ≈ 130%.</t>
  </si>
  <si>
    <t>7. 7_LEVERAGE</t>
  </si>
  <si>
    <t>Leverage ratio = Tier 1 / Total Exposure (aset + off-balance-sheet). Backstop terhadap manipulasi RWA. Hasil: 16,2%.</t>
  </si>
  <si>
    <t>KONVENSI WARNA:</t>
  </si>
  <si>
    <t>Biru tebal</t>
  </si>
  <si>
    <t>Input — boleh diubah (saldo aset, PD, run-off rate, dropdown surcharge).</t>
  </si>
  <si>
    <t>Hitam</t>
  </si>
  <si>
    <t>Formula — hasil kalkulasi, jangan diketik ulang.</t>
  </si>
  <si>
    <t>Hijau</t>
  </si>
  <si>
    <t>Link antar-sheet (mis. Total Modal dari sheet 1 dipakai di sheet 4).</t>
  </si>
  <si>
    <t>Kuning</t>
  </si>
  <si>
    <t>Hasil akhir / rasio kunci.</t>
  </si>
  <si>
    <t>Sumber: PT Bank Nusantara Sejahtera (bank fiktif ilustratif), aset Rp 30 triliun, RWA Rp 25 triliun, per 31 Desember 2024. Basis regulasi: POJK 12/2022 (konsolidasi Basel III Indonesia), POJK 17/2014 (KPMM/KMK), POJK 50/2018 (LCR), POJK 42/2019 (NSFR).</t>
  </si>
  <si>
    <t>1. KOMPOSISI MODAL — TIER 1 &amp; TIER 2</t>
  </si>
  <si>
    <t>PT Bank Nusantara Sejahtera per 31 Desember 2024 (Rp miliar). Input saldo biru; subtotal &amp; deduksi otomatis.</t>
  </si>
  <si>
    <t>COMMON EQUITY TIER 1 (CET1)</t>
  </si>
  <si>
    <t>Saham biasa + agio saham</t>
  </si>
  <si>
    <t>ekuitas dasar</t>
  </si>
  <si>
    <t>Saldo laba ditahan</t>
  </si>
  <si>
    <t>akumulasi 10 tahun</t>
  </si>
  <si>
    <t>Pendapatan komprehensif lain (OCI)</t>
  </si>
  <si>
    <t>rugi penilaian surat berharga</t>
  </si>
  <si>
    <t>CET1 sebelum deduksi</t>
  </si>
  <si>
    <t>Goodwill (deduksi)</t>
  </si>
  <si>
    <t>dari akuisisi bank kecil 2019</t>
  </si>
  <si>
    <t>DTA dari kerugian (deduksi)</t>
  </si>
  <si>
    <t>tidak boleh dihitung sbg CET1</t>
  </si>
  <si>
    <t>CET1 setelah deduksi</t>
  </si>
  <si>
    <t>ADDITIONAL TIER 1 (AT1)</t>
  </si>
  <si>
    <t>Saham preferen perpetual (CoCo)</t>
  </si>
  <si>
    <t>instrumen AT1</t>
  </si>
  <si>
    <t>TIER 1 (CET1 + AT1)</t>
  </si>
  <si>
    <t>TIER 2 — MODAL PELENGKAP</t>
  </si>
  <si>
    <t>Sub-debt tenor 7 tahun</t>
  </si>
  <si>
    <t>tenor ≥ 5 tahun</t>
  </si>
  <si>
    <t>General provisions</t>
  </si>
  <si>
    <t>dibatasi 1,25% RWA kredit</t>
  </si>
  <si>
    <t>TIER 2</t>
  </si>
  <si>
    <t>TOTAL MODAL</t>
  </si>
  <si>
    <t>TOTAL MODAL (Tier 1 + Tier 2)</t>
  </si>
  <si>
    <t>2. RWA PENDEKATAN STANDARDIZED (KPMM) — POJK 12/2022</t>
  </si>
  <si>
    <t>RWA per kategori aset = SUMPRODUCT(saldo, risk weight). Ubah saldo atau bobot (biru) untuk lihat RWA berubah.</t>
  </si>
  <si>
    <t>Kategori Aset</t>
  </si>
  <si>
    <t>Saldo (Rp miliar)</t>
  </si>
  <si>
    <t>Risk Weight</t>
  </si>
  <si>
    <t>RWA (Rp miliar)</t>
  </si>
  <si>
    <t>Kas &amp; Giro pada BI</t>
  </si>
  <si>
    <t>sangat aman</t>
  </si>
  <si>
    <t>SBN (SUN/Sukuk)</t>
  </si>
  <si>
    <t>sovereign</t>
  </si>
  <si>
    <t>Klaim antar-bank (call money, ≤3 bln)</t>
  </si>
  <si>
    <t>interbank</t>
  </si>
  <si>
    <t>Kredit BUMN</t>
  </si>
  <si>
    <t>implicit state support</t>
  </si>
  <si>
    <t>Kredit korporasi private</t>
  </si>
  <si>
    <t>default</t>
  </si>
  <si>
    <t>KPR ritel (≤Rp 5 M/rumah)</t>
  </si>
  <si>
    <t>preferential treatment</t>
  </si>
  <si>
    <t>KUR / kredit UMKM</t>
  </si>
  <si>
    <t>usaha kecil</t>
  </si>
  <si>
    <t>Kredit konsumtif (kartu kredit, ACL)</t>
  </si>
  <si>
    <t>rata-rata rentang 75-100%</t>
  </si>
  <si>
    <t>Aset tetap (gedung kantor)</t>
  </si>
  <si>
    <t>aset tetap</t>
  </si>
  <si>
    <t>Penyertaan saham strategis (dideduksi modal, bukan RWA)</t>
  </si>
  <si>
    <t>dideduksi dari modal, bukan RWA</t>
  </si>
  <si>
    <t>Aset bermasalah (NPL &gt; 90 hari, unsecured)</t>
  </si>
  <si>
    <t>penalty</t>
  </si>
  <si>
    <t>Total Aset</t>
  </si>
  <si>
    <t>RWA Kredit (SUMPRODUCT) =</t>
  </si>
  <si>
    <t>RWA TOTAL — KREDIT + PASAR + OPERASIONAL</t>
  </si>
  <si>
    <t>RWA risiko kredit</t>
  </si>
  <si>
    <t>RWA risiko pasar (surat berharga trading, forex)</t>
  </si>
  <si>
    <t>RWA risiko operasional (pendekatan standar: α×gross income)</t>
  </si>
  <si>
    <t>RWA TOTAL</t>
  </si>
  <si>
    <t>3. RWA PENDEKATAN IRB (KMK) — FORMULA BASEL PENUH</t>
  </si>
  <si>
    <t>Kalkulator live: PD/LGD/EAD/Maturity → Capital Requirement → Risk Weight, memakai _xlfn.NORM.S.INV / _xlfn.NORM.S.DIST (Basel II/III Foundation IRB, korporat).</t>
  </si>
  <si>
    <t>INPUT (ubah sel biru)</t>
  </si>
  <si>
    <t>Probability of Default (PD)</t>
  </si>
  <si>
    <t>Loss Given Default (LGD)</t>
  </si>
  <si>
    <t>Exposure at Default (EAD, Rp miliar)</t>
  </si>
  <si>
    <t>Effective Maturity (M, tahun)</t>
  </si>
  <si>
    <t>PERHITUNGAN (formula Basel korporat)</t>
  </si>
  <si>
    <t>Korelasi aset R = 0,12×(1-EXP(-50×PD))/(1-EXP(-50)) + 0,24×(1-...)</t>
  </si>
  <si>
    <t>Maturity adjustment b = (0,11852 - 0,05478×LN(PD))²</t>
  </si>
  <si>
    <t>G(PD) = _xlfn.NORM.S.INV(PD)</t>
  </si>
  <si>
    <t>G(0,999) = _xlfn.NORM.S.INV(0,999)</t>
  </si>
  <si>
    <t>Faktor korelasi dalam N(...) = (1-R)^-0,5×G(PD) + (R/(1-R))^0,5×G(0,999)</t>
  </si>
  <si>
    <t>N(...) = _xlfn.NORM.S.DIST(faktor korelasi, TRUE)</t>
  </si>
  <si>
    <t>Maturity adjustment factor f(M) = [1+(M-2,5)×b] / (1-1,5×b)</t>
  </si>
  <si>
    <t>Capital Requirement K = [LGD×N(...) - PD×LGD] × f(M)</t>
  </si>
  <si>
    <t>HASIL</t>
  </si>
  <si>
    <t>Risk Weight IRB = K × 12,5</t>
  </si>
  <si>
    <t>RWA IRB = Risk Weight × EAD</t>
  </si>
  <si>
    <t>TABEL REFERENSI: RISK WEIGHT vs PD (LGD 45%, M 2,5 tahun) — dihitung LIVE dengan formula yang sama</t>
  </si>
  <si>
    <t>PD</t>
  </si>
  <si>
    <t>Risk Weight IRB (live)</t>
  </si>
  <si>
    <t>Risk Weight Standardized</t>
  </si>
  <si>
    <t>Catatan: tabel referensi artikel (0,10%→22,3%; 1,0%→56%; 5,0%→99%; 20%→144%; 50%→194%) bersifat ILUSTRATIF/dibulatkan untuk menjelaskan tren umum (PD naik → RW IRB naik). Sel di atas menghitung Risk Weight IRB SECARA LIVE dan PRESISI memakai formula Basel resmi (BCBS corporate IRB, Foundation approach) — nilai dapat berbeda tipis dari angka ilustratif teks artikel karena presisi formula regulatori penuh, bukan pembulatan naratif.</t>
  </si>
  <si>
    <t>4. CAR &amp; BUFFER BASEL III</t>
  </si>
  <si>
    <t>CAR, Tier 1 ratio, CET1 ratio (link sheet 1 &amp; 2) + buffer (CCB, CCyB, D-SIB surcharge via dropdown) → minimum efektif.</t>
  </si>
  <si>
    <t>MODAL &amp; RWA (link antar-sheet)</t>
  </si>
  <si>
    <t>Total Modal (Tier 1 + Tier 2)</t>
  </si>
  <si>
    <t>Tier 1</t>
  </si>
  <si>
    <t>CET1</t>
  </si>
  <si>
    <t>RWA Total</t>
  </si>
  <si>
    <t>RASIO</t>
  </si>
  <si>
    <t>CAR = Total Modal / RWA</t>
  </si>
  <si>
    <t>Tier 1 ratio = Tier 1 / RWA</t>
  </si>
  <si>
    <t>CET1 ratio = CET1 / RWA</t>
  </si>
  <si>
    <t>BUFFER BASEL III (ubah dropdown biru)</t>
  </si>
  <si>
    <t>Capital Conservation Buffer (CCB)</t>
  </si>
  <si>
    <t>Countercyclical Buffer (CCyB, 0-2,5%)</t>
  </si>
  <si>
    <t>D-SIB Surcharge (dropdown)</t>
  </si>
  <si>
    <t>MINIMUM EFEKTIF &amp; STATUS KEPATUHAN</t>
  </si>
  <si>
    <t>Minimum CAR efektif = 8% + CCB + CCyB + D-SIB</t>
  </si>
  <si>
    <t>Minimum Tier 1 efektif = 6% + CCB + CCyB + D-SIB</t>
  </si>
  <si>
    <t>Minimum CET1 efektif = 4,5% + CCB + CCyB + D-SIB</t>
  </si>
  <si>
    <t>Margin CAR di atas minimum</t>
  </si>
  <si>
    <t>Status Kepatuhan</t>
  </si>
  <si>
    <t>5. LIQUIDITY COVERAGE RATIO (LCR)</t>
  </si>
  <si>
    <t>HQLA (hair-cut per level) vs Net Cash Outflow 30 hari (run-off rate). Inflow di-cap 75% total outflow.</t>
  </si>
  <si>
    <t>HQLA — HIGH-QUALITY LIQUID ASSETS</t>
  </si>
  <si>
    <t>Komponen</t>
  </si>
  <si>
    <t>Saldo</t>
  </si>
  <si>
    <t>Level</t>
  </si>
  <si>
    <t>Hair-cut</t>
  </si>
  <si>
    <t>HQLA (setelah hair-cut)</t>
  </si>
  <si>
    <t>Kas</t>
  </si>
  <si>
    <t>Level 1</t>
  </si>
  <si>
    <t>SBN</t>
  </si>
  <si>
    <t>Klaim BI</t>
  </si>
  <si>
    <t>SBN PSE</t>
  </si>
  <si>
    <t>Level 2A</t>
  </si>
  <si>
    <t>Total HQLA</t>
  </si>
  <si>
    <t>OUTFLOW 30 HARI</t>
  </si>
  <si>
    <t>Run-off Rate</t>
  </si>
  <si>
    <t>Outflow</t>
  </si>
  <si>
    <t>Deposito ritel stabil</t>
  </si>
  <si>
    <t>Deposito ritel less-stable</t>
  </si>
  <si>
    <t>Giro korporasi non-operasional</t>
  </si>
  <si>
    <t>Funding wholesale</t>
  </si>
  <si>
    <t>Commitment undrawn (line of credit)</t>
  </si>
  <si>
    <t>Total Outflow</t>
  </si>
  <si>
    <t>INFLOW 30 HARI (cap 75% total outflow)</t>
  </si>
  <si>
    <t>Run-on Rate</t>
  </si>
  <si>
    <t>Inflow</t>
  </si>
  <si>
    <t>Pinjaman jatuh tempo 30 hari</t>
  </si>
  <si>
    <t>Reverse repo 30 hari</t>
  </si>
  <si>
    <t>Total Inflow sebelum cap</t>
  </si>
  <si>
    <t>Cap Inflow (75% × Total Outflow)</t>
  </si>
  <si>
    <t>Total Inflow (setelah cap) = MIN(inflow mentah, cap)</t>
  </si>
  <si>
    <t>HASIL LCR</t>
  </si>
  <si>
    <t>Net Cash Outflow = Total Outflow − Total Inflow</t>
  </si>
  <si>
    <t>LCR = HQLA / Net Cash Outflow</t>
  </si>
  <si>
    <t>6. NET STABLE FUNDING RATIO (NSFR)</t>
  </si>
  <si>
    <t>ASF (pendanaan stabil) vs RSF (aset butuh pendanaan stabil), dibobotkan per kategori 1 tahun. Ilustrasi struktur neraca disederhanakan dari Bank Nusantara Sejahtera untuk mendekati NSFR ≈130% seperti disebut artikel.</t>
  </si>
  <si>
    <t>AVAILABLE STABLE FUNDING (ASF)</t>
  </si>
  <si>
    <t>Bobot ASF</t>
  </si>
  <si>
    <t>ASF</t>
  </si>
  <si>
    <t>Modal (Tier 1 + Tier 2)</t>
  </si>
  <si>
    <t>link sheet 1</t>
  </si>
  <si>
    <t>Deposito ritel stabil / giro operasional (CASA inti)</t>
  </si>
  <si>
    <t>Funding wholesale jangka pendek</t>
  </si>
  <si>
    <t>Total ASF</t>
  </si>
  <si>
    <t>REQUIRED STABLE FUNDING (RSF)</t>
  </si>
  <si>
    <t>Bobot RSF</t>
  </si>
  <si>
    <t>RSF</t>
  </si>
  <si>
    <t>Kas &amp; SBN (risk weight rendah)</t>
  </si>
  <si>
    <t>Kredit ritel/KPR performing (≤ 1 tahun sisa jatuh tempo relevan)</t>
  </si>
  <si>
    <t>Kredit korporasi &amp; UMKM (&gt; 1 tahun)</t>
  </si>
  <si>
    <t>Aset tetap &amp; lainnya</t>
  </si>
  <si>
    <t>Total RSF</t>
  </si>
  <si>
    <t>HASIL NSFR</t>
  </si>
  <si>
    <t>NSFR = ASF / RSF</t>
  </si>
  <si>
    <t>7. LEVERAGE RATIO — BACKSTOP TERHADAP RWA</t>
  </si>
  <si>
    <t>Leverage Ratio = Tier 1 / Total Exposure (aset neraca + off-balance-sheet). Minimum Basel III 3%.</t>
  </si>
  <si>
    <t>TOTAL EXPOSURE</t>
  </si>
  <si>
    <t>Aset total (neraca)</t>
  </si>
  <si>
    <t>Off-balance-sheet (commitment, guarantee, derivatif)</t>
  </si>
  <si>
    <t>Total Exposure</t>
  </si>
  <si>
    <t>LEVERAGE RATIO</t>
  </si>
  <si>
    <t>Tier 1 (link sheet 1)</t>
  </si>
  <si>
    <t>Leverage Ratio = Tier 1 / Total Exposure</t>
  </si>
  <si>
    <t>Minimum Basel III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</si>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</sst>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;[Red]\(&quot;Rp&quot;#,##0\)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55555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8.5"/>
      <color rgb="FF555555"/>
      <name val="Arial"/>
    </font>
    <font>
      <b/>
      <sz val="10.5"/>
      <color rgb="FF000000"/>
      <name val="Arial"/>
    </font>
    <font>
      <b/>
      <sz val="10"/>
      <color rgb="FF0D47A1"/>
      <name val="Arial"/>
    </font>
    <font>
      <b/>
      <sz val="11"/>
      <color rgb="FF000000"/>
      <name val="Arial"/>
    </font>
    <font>
      <sz val="10"/>
      <color rgb="FF2E7D32"/>
      <name val="Arial"/>
    </font>
  </fonts>
  <fills count="7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E0E0E0"/>
      </patternFill>
    </fill>
    <fill>
      <patternFill patternType="solid">
        <fgColor rgb="FFF0F4FF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7" fillId="5" borderId="1" xfId="0" applyNumberFormat="1" applyFont="1" applyFill="1" applyBorder="1"/>
    <xf numFmtId="164" fontId="3" fillId="0" borderId="1" xfId="0" applyNumberFormat="1" applyFont="1" applyBorder="1"/>
    <xf numFmtId="164" fontId="8" fillId="6" borderId="1" xfId="0" applyNumberFormat="1" applyFont="1" applyFill="1" applyBorder="1"/>
    <xf numFmtId="0" fontId="3" fillId="4" borderId="0" xfId="0" applyFont="1" applyFill="1" applyAlignment="1">
      <alignment vertical="center"/>
    </xf>
    <xf numFmtId="165" fontId="7" fillId="5" borderId="1" xfId="0" applyNumberFormat="1" applyFont="1" applyFill="1" applyBorder="1"/>
    <xf numFmtId="164" fontId="4" fillId="0" borderId="1" xfId="0" applyNumberFormat="1" applyFont="1" applyBorder="1"/>
    <xf numFmtId="164" fontId="9" fillId="0" borderId="1" xfId="0" applyNumberFormat="1" applyFont="1" applyBorder="1"/>
    <xf numFmtId="10" fontId="7" fillId="5" borderId="1" xfId="0" applyNumberFormat="1" applyFont="1" applyFill="1" applyBorder="1"/>
    <xf numFmtId="4" fontId="7" fillId="5" borderId="1" xfId="0" applyNumberFormat="1" applyFont="1" applyFill="1" applyBorder="1"/>
    <xf numFmtId="4" fontId="4" fillId="0" borderId="1" xfId="0" applyNumberFormat="1" applyFont="1" applyBorder="1"/>
    <xf numFmtId="10" fontId="4" fillId="0" borderId="1" xfId="0" applyNumberFormat="1" applyFont="1" applyBorder="1"/>
    <xf numFmtId="165" fontId="8" fillId="6" borderId="1" xfId="0" applyNumberFormat="1" applyFont="1" applyFill="1" applyBorder="1"/>
    <xf numFmtId="165" fontId="4" fillId="0" borderId="1" xfId="0" applyNumberFormat="1" applyFont="1" applyBorder="1"/>
    <xf numFmtId="0" fontId="8" fillId="6" borderId="1" xfId="0" applyFont="1" applyFill="1" applyBorder="1"/>
    <xf numFmtId="0" fontId="2" fillId="3" borderId="0" xfId="0" applyFont="1" applyFill="1" applyAlignment="1">
      <alignment horizontal="left" vertical="center" wrapText="1" indent="1"/>
    </xf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6" fillId="4" borderId="0" xfId="0" applyFont="1" applyFill="1"/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22" customWidth="1"/>
    <col min="3" max="3" width="78" customWidth="1"/>
    <col min="4" max="4" width="3" customWidth="1"/>
  </cols>
  <sheetData>
    <row r="2" spans="2:3" ht="21.95" customHeight="1" x14ac:dyDescent="0.25">
      <c r="B2" s="21" t="s">
        <v>0</v>
      </c>
      <c r="C2" s="20"/>
    </row>
    <row r="3" spans="2:3" x14ac:dyDescent="0.25">
      <c r="B3" s="19" t="s">
        <v>1</v>
      </c>
      <c r="C3" s="20"/>
    </row>
    <row r="5" spans="2:3" x14ac:dyDescent="0.25">
      <c r="B5" s="1" t="s">
        <v>2</v>
      </c>
    </row>
    <row r="6" spans="2:3" ht="30" customHeight="1" x14ac:dyDescent="0.25">
      <c r="B6" s="1" t="s">
        <v>3</v>
      </c>
      <c r="C6" s="2" t="s">
        <v>4</v>
      </c>
    </row>
    <row r="7" spans="2:3" ht="30" customHeight="1" x14ac:dyDescent="0.25">
      <c r="B7" s="1" t="s">
        <v>5</v>
      </c>
      <c r="C7" s="2" t="s">
        <v>6</v>
      </c>
    </row>
    <row r="8" spans="2:3" ht="30" customHeight="1" x14ac:dyDescent="0.25">
      <c r="B8" s="1" t="s">
        <v>7</v>
      </c>
      <c r="C8" s="2" t="s">
        <v>8</v>
      </c>
    </row>
    <row r="9" spans="2:3" ht="30" customHeight="1" x14ac:dyDescent="0.25">
      <c r="B9" s="1" t="s">
        <v>9</v>
      </c>
      <c r="C9" s="2" t="s">
        <v>10</v>
      </c>
    </row>
    <row r="10" spans="2:3" ht="30" customHeight="1" x14ac:dyDescent="0.25">
      <c r="B10" s="1" t="s">
        <v>11</v>
      </c>
      <c r="C10" s="2" t="s">
        <v>12</v>
      </c>
    </row>
    <row r="11" spans="2:3" ht="30" customHeight="1" x14ac:dyDescent="0.25">
      <c r="B11" s="1" t="s">
        <v>13</v>
      </c>
      <c r="C11" s="2" t="s">
        <v>14</v>
      </c>
    </row>
    <row r="12" spans="2:3" ht="30" customHeight="1" x14ac:dyDescent="0.25">
      <c r="B12" s="1" t="s">
        <v>15</v>
      </c>
      <c r="C12" s="2" t="s">
        <v>16</v>
      </c>
    </row>
    <row r="14" spans="2:3" x14ac:dyDescent="0.25">
      <c r="B14" s="1" t="s">
        <v>17</v>
      </c>
    </row>
    <row r="15" spans="2:3" x14ac:dyDescent="0.25">
      <c r="B15" s="3" t="s">
        <v>18</v>
      </c>
      <c r="C15" s="4" t="s">
        <v>19</v>
      </c>
    </row>
    <row r="16" spans="2:3" x14ac:dyDescent="0.25">
      <c r="B16" s="3" t="s">
        <v>20</v>
      </c>
      <c r="C16" s="4" t="s">
        <v>21</v>
      </c>
    </row>
    <row r="17" spans="2:3" x14ac:dyDescent="0.25">
      <c r="B17" s="3" t="s">
        <v>22</v>
      </c>
      <c r="C17" s="4" t="s">
        <v>23</v>
      </c>
    </row>
    <row r="18" spans="2:3" x14ac:dyDescent="0.25">
      <c r="B18" s="3" t="s">
        <v>24</v>
      </c>
      <c r="C18" s="4" t="s">
        <v>25</v>
      </c>
    </row>
    <row r="20" spans="2:3" ht="30" customHeight="1" x14ac:dyDescent="0.25">
      <c r="B20" s="4" t="s">
        <v>26</v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4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38" customWidth="1"/>
    <col min="3" max="3" width="18" customWidth="1"/>
    <col min="4" max="4" width="40" customWidth="1"/>
  </cols>
  <sheetData>
    <row r="2" spans="2:4" ht="21.95" customHeight="1" x14ac:dyDescent="0.25">
      <c r="B2" s="21" t="s">
        <v>27</v>
      </c>
      <c r="C2" s="20"/>
      <c r="D2" s="20"/>
    </row>
    <row r="3" spans="2:4" x14ac:dyDescent="0.25">
      <c r="B3" s="19" t="s">
        <v>28</v>
      </c>
      <c r="C3" s="20"/>
      <c r="D3" s="20"/>
    </row>
    <row r="5" spans="2:4" ht="15.95" customHeight="1" x14ac:dyDescent="0.25">
      <c r="B5" s="22" t="s">
        <v>29</v>
      </c>
      <c r="C5" s="20"/>
      <c r="D5" s="20"/>
    </row>
    <row r="6" spans="2:4" x14ac:dyDescent="0.25">
      <c r="B6" s="3" t="s">
        <v>30</v>
      </c>
      <c r="C6" s="5">
        <v>2000</v>
      </c>
      <c r="D6" s="4" t="s">
        <v>31</v>
      </c>
    </row>
    <row r="7" spans="2:4" x14ac:dyDescent="0.25">
      <c r="B7" s="3" t="s">
        <v>32</v>
      </c>
      <c r="C7" s="5">
        <v>3500</v>
      </c>
      <c r="D7" s="4" t="s">
        <v>33</v>
      </c>
    </row>
    <row r="8" spans="2:4" x14ac:dyDescent="0.25">
      <c r="B8" s="3" t="s">
        <v>34</v>
      </c>
      <c r="C8" s="5">
        <v>-200</v>
      </c>
      <c r="D8" s="4" t="s">
        <v>35</v>
      </c>
    </row>
    <row r="9" spans="2:4" x14ac:dyDescent="0.25">
      <c r="B9" s="1" t="s">
        <v>36</v>
      </c>
      <c r="C9" s="6">
        <f>C6+C7+C8</f>
        <v>5300</v>
      </c>
    </row>
    <row r="10" spans="2:4" x14ac:dyDescent="0.25">
      <c r="B10" s="3" t="s">
        <v>37</v>
      </c>
      <c r="C10" s="5">
        <v>-300</v>
      </c>
      <c r="D10" s="4" t="s">
        <v>38</v>
      </c>
    </row>
    <row r="11" spans="2:4" x14ac:dyDescent="0.25">
      <c r="B11" s="3" t="s">
        <v>39</v>
      </c>
      <c r="C11" s="5">
        <v>-150</v>
      </c>
      <c r="D11" s="4" t="s">
        <v>40</v>
      </c>
    </row>
    <row r="12" spans="2:4" x14ac:dyDescent="0.25">
      <c r="B12" s="1" t="s">
        <v>41</v>
      </c>
      <c r="C12" s="6">
        <f>C9+C10+C11</f>
        <v>4850</v>
      </c>
    </row>
    <row r="14" spans="2:4" ht="15.95" customHeight="1" x14ac:dyDescent="0.25">
      <c r="B14" s="22" t="s">
        <v>42</v>
      </c>
      <c r="C14" s="20"/>
      <c r="D14" s="20"/>
    </row>
    <row r="15" spans="2:4" x14ac:dyDescent="0.25">
      <c r="B15" s="3" t="s">
        <v>43</v>
      </c>
      <c r="C15" s="5">
        <v>500</v>
      </c>
      <c r="D15" s="4" t="s">
        <v>44</v>
      </c>
    </row>
    <row r="16" spans="2:4" x14ac:dyDescent="0.25">
      <c r="B16" s="1" t="s">
        <v>45</v>
      </c>
      <c r="C16" s="6">
        <f>C12+C15</f>
        <v>5350</v>
      </c>
    </row>
    <row r="18" spans="2:4" ht="15.95" customHeight="1" x14ac:dyDescent="0.25">
      <c r="B18" s="22" t="s">
        <v>46</v>
      </c>
      <c r="C18" s="20"/>
      <c r="D18" s="20"/>
    </row>
    <row r="19" spans="2:4" x14ac:dyDescent="0.25">
      <c r="B19" s="3" t="s">
        <v>47</v>
      </c>
      <c r="C19" s="5">
        <v>800</v>
      </c>
      <c r="D19" s="4" t="s">
        <v>48</v>
      </c>
    </row>
    <row r="20" spans="2:4" x14ac:dyDescent="0.25">
      <c r="B20" s="3" t="s">
        <v>49</v>
      </c>
      <c r="C20" s="5">
        <v>250</v>
      </c>
      <c r="D20" s="4" t="s">
        <v>50</v>
      </c>
    </row>
    <row r="21" spans="2:4" x14ac:dyDescent="0.25">
      <c r="B21" s="1" t="s">
        <v>51</v>
      </c>
      <c r="C21" s="6">
        <f>C19+C20</f>
        <v>1050</v>
      </c>
    </row>
    <row r="23" spans="2:4" ht="15.95" customHeight="1" x14ac:dyDescent="0.25">
      <c r="B23" s="22" t="s">
        <v>52</v>
      </c>
      <c r="C23" s="20"/>
      <c r="D23" s="20"/>
    </row>
    <row r="24" spans="2:4" x14ac:dyDescent="0.25">
      <c r="B24" s="1" t="s">
        <v>53</v>
      </c>
      <c r="C24" s="7">
        <f>C16+C21</f>
        <v>6400</v>
      </c>
    </row>
  </sheetData>
  <mergeCells count="6">
    <mergeCell ref="B2:D2"/>
    <mergeCell ref="B3:D3"/>
    <mergeCell ref="B5:D5"/>
    <mergeCell ref="B14:D14"/>
    <mergeCell ref="B23:D23"/>
    <mergeCell ref="B18:D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3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40" customWidth="1"/>
    <col min="3" max="3" width="16" customWidth="1"/>
    <col min="4" max="4" width="12" customWidth="1"/>
    <col min="5" max="5" width="16" customWidth="1"/>
    <col min="6" max="6" width="30" customWidth="1"/>
  </cols>
  <sheetData>
    <row r="2" spans="2:6" ht="21.95" customHeight="1" x14ac:dyDescent="0.25">
      <c r="B2" s="21" t="s">
        <v>54</v>
      </c>
      <c r="C2" s="20"/>
      <c r="D2" s="20"/>
      <c r="E2" s="20"/>
      <c r="F2" s="20"/>
    </row>
    <row r="3" spans="2:6" x14ac:dyDescent="0.25">
      <c r="B3" s="19" t="s">
        <v>55</v>
      </c>
      <c r="C3" s="20"/>
      <c r="D3" s="20"/>
      <c r="E3" s="20"/>
      <c r="F3" s="20"/>
    </row>
    <row r="5" spans="2:6" x14ac:dyDescent="0.25">
      <c r="B5" s="8" t="s">
        <v>56</v>
      </c>
      <c r="C5" s="8" t="s">
        <v>57</v>
      </c>
      <c r="D5" s="8" t="s">
        <v>58</v>
      </c>
      <c r="E5" s="8" t="s">
        <v>59</v>
      </c>
    </row>
    <row r="6" spans="2:6" x14ac:dyDescent="0.25">
      <c r="B6" s="3" t="s">
        <v>60</v>
      </c>
      <c r="C6" s="5">
        <v>1500</v>
      </c>
      <c r="D6" s="9">
        <v>0</v>
      </c>
      <c r="E6" s="10">
        <f t="shared" ref="E6:E16" si="0">C6*D6</f>
        <v>0</v>
      </c>
      <c r="F6" s="4" t="s">
        <v>61</v>
      </c>
    </row>
    <row r="7" spans="2:6" x14ac:dyDescent="0.25">
      <c r="B7" s="3" t="s">
        <v>62</v>
      </c>
      <c r="C7" s="5">
        <v>4000</v>
      </c>
      <c r="D7" s="9">
        <v>0</v>
      </c>
      <c r="E7" s="10">
        <f t="shared" si="0"/>
        <v>0</v>
      </c>
      <c r="F7" s="4" t="s">
        <v>63</v>
      </c>
    </row>
    <row r="8" spans="2:6" x14ac:dyDescent="0.25">
      <c r="B8" s="3" t="s">
        <v>64</v>
      </c>
      <c r="C8" s="5">
        <v>1000</v>
      </c>
      <c r="D8" s="9">
        <v>0.2</v>
      </c>
      <c r="E8" s="10">
        <f t="shared" si="0"/>
        <v>200</v>
      </c>
      <c r="F8" s="4" t="s">
        <v>65</v>
      </c>
    </row>
    <row r="9" spans="2:6" x14ac:dyDescent="0.25">
      <c r="B9" s="3" t="s">
        <v>66</v>
      </c>
      <c r="C9" s="5">
        <v>2500</v>
      </c>
      <c r="D9" s="9">
        <v>0.5</v>
      </c>
      <c r="E9" s="10">
        <f t="shared" si="0"/>
        <v>1250</v>
      </c>
      <c r="F9" s="4" t="s">
        <v>67</v>
      </c>
    </row>
    <row r="10" spans="2:6" x14ac:dyDescent="0.25">
      <c r="B10" s="3" t="s">
        <v>68</v>
      </c>
      <c r="C10" s="5">
        <v>8000</v>
      </c>
      <c r="D10" s="9">
        <v>1</v>
      </c>
      <c r="E10" s="10">
        <f t="shared" si="0"/>
        <v>8000</v>
      </c>
      <c r="F10" s="4" t="s">
        <v>69</v>
      </c>
    </row>
    <row r="11" spans="2:6" x14ac:dyDescent="0.25">
      <c r="B11" s="3" t="s">
        <v>70</v>
      </c>
      <c r="C11" s="5">
        <v>3500</v>
      </c>
      <c r="D11" s="9">
        <v>0.35</v>
      </c>
      <c r="E11" s="10">
        <f t="shared" si="0"/>
        <v>1225</v>
      </c>
      <c r="F11" s="4" t="s">
        <v>71</v>
      </c>
    </row>
    <row r="12" spans="2:6" x14ac:dyDescent="0.25">
      <c r="B12" s="3" t="s">
        <v>72</v>
      </c>
      <c r="C12" s="5">
        <v>5000</v>
      </c>
      <c r="D12" s="9">
        <v>0.75</v>
      </c>
      <c r="E12" s="10">
        <f t="shared" si="0"/>
        <v>3750</v>
      </c>
      <c r="F12" s="4" t="s">
        <v>73</v>
      </c>
    </row>
    <row r="13" spans="2:6" x14ac:dyDescent="0.25">
      <c r="B13" s="3" t="s">
        <v>74</v>
      </c>
      <c r="C13" s="5">
        <v>2000</v>
      </c>
      <c r="D13" s="9">
        <v>0.875</v>
      </c>
      <c r="E13" s="10">
        <f t="shared" si="0"/>
        <v>1750</v>
      </c>
      <c r="F13" s="4" t="s">
        <v>75</v>
      </c>
    </row>
    <row r="14" spans="2:6" x14ac:dyDescent="0.25">
      <c r="B14" s="3" t="s">
        <v>76</v>
      </c>
      <c r="C14" s="5">
        <v>1500</v>
      </c>
      <c r="D14" s="9">
        <v>1</v>
      </c>
      <c r="E14" s="10">
        <f t="shared" si="0"/>
        <v>1500</v>
      </c>
      <c r="F14" s="4" t="s">
        <v>77</v>
      </c>
    </row>
    <row r="15" spans="2:6" x14ac:dyDescent="0.25">
      <c r="B15" s="3" t="s">
        <v>78</v>
      </c>
      <c r="C15" s="5">
        <v>500</v>
      </c>
      <c r="D15" s="9">
        <v>0</v>
      </c>
      <c r="E15" s="10">
        <f t="shared" si="0"/>
        <v>0</v>
      </c>
      <c r="F15" s="4" t="s">
        <v>79</v>
      </c>
    </row>
    <row r="16" spans="2:6" x14ac:dyDescent="0.25">
      <c r="B16" s="3" t="s">
        <v>80</v>
      </c>
      <c r="C16" s="5">
        <v>500</v>
      </c>
      <c r="D16" s="9">
        <v>1.5</v>
      </c>
      <c r="E16" s="10">
        <f t="shared" si="0"/>
        <v>750</v>
      </c>
      <c r="F16" s="4" t="s">
        <v>81</v>
      </c>
    </row>
    <row r="17" spans="2:6" x14ac:dyDescent="0.25">
      <c r="B17" s="1" t="s">
        <v>82</v>
      </c>
      <c r="C17" s="6">
        <f>SUM(C6:C16)</f>
        <v>30000</v>
      </c>
      <c r="D17" s="1" t="s">
        <v>83</v>
      </c>
      <c r="E17" s="7">
        <f>SUMPRODUCT(C6:C16,D6:D16)</f>
        <v>18425</v>
      </c>
    </row>
    <row r="19" spans="2:6" ht="15.95" customHeight="1" x14ac:dyDescent="0.25">
      <c r="B19" s="22" t="s">
        <v>84</v>
      </c>
      <c r="C19" s="20"/>
      <c r="D19" s="20"/>
      <c r="E19" s="20"/>
      <c r="F19" s="20"/>
    </row>
    <row r="20" spans="2:6" x14ac:dyDescent="0.25">
      <c r="B20" s="3" t="s">
        <v>85</v>
      </c>
      <c r="C20" s="11">
        <f>E17</f>
        <v>18425</v>
      </c>
    </row>
    <row r="21" spans="2:6" x14ac:dyDescent="0.25">
      <c r="B21" s="3" t="s">
        <v>86</v>
      </c>
      <c r="C21" s="5">
        <v>4500</v>
      </c>
    </row>
    <row r="22" spans="2:6" x14ac:dyDescent="0.25">
      <c r="B22" s="3" t="s">
        <v>87</v>
      </c>
      <c r="C22" s="5">
        <v>2075</v>
      </c>
    </row>
    <row r="23" spans="2:6" x14ac:dyDescent="0.25">
      <c r="B23" s="1" t="s">
        <v>88</v>
      </c>
      <c r="C23" s="7">
        <f>C20+C21+C22</f>
        <v>25000</v>
      </c>
    </row>
  </sheetData>
  <mergeCells count="3">
    <mergeCell ref="B2:F2"/>
    <mergeCell ref="B3:F3"/>
    <mergeCell ref="B19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34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42" customWidth="1"/>
    <col min="3" max="3" width="16" customWidth="1"/>
    <col min="4" max="4" width="40" customWidth="1"/>
  </cols>
  <sheetData>
    <row r="2" spans="2:4" ht="21.95" customHeight="1" x14ac:dyDescent="0.25">
      <c r="B2" s="21" t="s">
        <v>89</v>
      </c>
      <c r="C2" s="20"/>
      <c r="D2" s="20"/>
    </row>
    <row r="3" spans="2:4" x14ac:dyDescent="0.25">
      <c r="B3" s="19" t="s">
        <v>90</v>
      </c>
      <c r="C3" s="20"/>
      <c r="D3" s="20"/>
    </row>
    <row r="5" spans="2:4" ht="15.95" customHeight="1" x14ac:dyDescent="0.25">
      <c r="B5" s="22" t="s">
        <v>91</v>
      </c>
      <c r="C5" s="20"/>
      <c r="D5" s="20"/>
    </row>
    <row r="6" spans="2:4" x14ac:dyDescent="0.25">
      <c r="B6" s="3" t="s">
        <v>92</v>
      </c>
      <c r="C6" s="12">
        <v>0.01</v>
      </c>
    </row>
    <row r="7" spans="2:4" x14ac:dyDescent="0.25">
      <c r="B7" s="3" t="s">
        <v>93</v>
      </c>
      <c r="C7" s="9">
        <v>0.45</v>
      </c>
    </row>
    <row r="8" spans="2:4" x14ac:dyDescent="0.25">
      <c r="B8" s="3" t="s">
        <v>94</v>
      </c>
      <c r="C8" s="5">
        <v>1000</v>
      </c>
    </row>
    <row r="9" spans="2:4" x14ac:dyDescent="0.25">
      <c r="B9" s="3" t="s">
        <v>95</v>
      </c>
      <c r="C9" s="13">
        <v>2.5</v>
      </c>
    </row>
    <row r="11" spans="2:4" ht="15.95" customHeight="1" x14ac:dyDescent="0.25">
      <c r="B11" s="22" t="s">
        <v>96</v>
      </c>
      <c r="C11" s="20"/>
      <c r="D11" s="20"/>
    </row>
    <row r="12" spans="2:4" x14ac:dyDescent="0.25">
      <c r="B12" s="3" t="s">
        <v>97</v>
      </c>
      <c r="C12" s="14">
        <f>0.12*(1-EXP(-50*C6))/(1-EXP(-50))+0.24*(1-(1-EXP(-50*C6))/(1-EXP(-50)))</f>
        <v>0.192783679165516</v>
      </c>
    </row>
    <row r="13" spans="2:4" x14ac:dyDescent="0.25">
      <c r="B13" s="3" t="s">
        <v>98</v>
      </c>
      <c r="C13" s="14">
        <f>(0.11852-0.05478*LN(C6))^2</f>
        <v>0.13748613089693737</v>
      </c>
    </row>
    <row r="14" spans="2:4" x14ac:dyDescent="0.25">
      <c r="B14" s="3" t="s">
        <v>99</v>
      </c>
      <c r="C14" s="14">
        <f>_xlfn.NORM.S.INV(C6)</f>
        <v>-2.3263478740408408</v>
      </c>
    </row>
    <row r="15" spans="2:4" x14ac:dyDescent="0.25">
      <c r="B15" s="3" t="s">
        <v>100</v>
      </c>
      <c r="C15" s="14">
        <f>_xlfn.NORM.S.INV(0.999)</f>
        <v>3.0902323061678132</v>
      </c>
    </row>
    <row r="16" spans="2:4" x14ac:dyDescent="0.25">
      <c r="B16" s="3" t="s">
        <v>101</v>
      </c>
      <c r="C16" s="14">
        <f>(1-C12)^-0.5*C14+(C12/(1-C12))^0.5*C15</f>
        <v>-1.0790950517201594</v>
      </c>
    </row>
    <row r="17" spans="2:4" x14ac:dyDescent="0.25">
      <c r="B17" s="3" t="s">
        <v>102</v>
      </c>
      <c r="C17" s="14">
        <f>_xlfn.NORM.S.DIST(C16,TRUE)</f>
        <v>0.14027267845651584</v>
      </c>
    </row>
    <row r="18" spans="2:4" x14ac:dyDescent="0.25">
      <c r="B18" s="3" t="s">
        <v>103</v>
      </c>
      <c r="C18" s="14">
        <f>(1+(C9-2.5)*C13)/(1-1.5*C13)</f>
        <v>1.2598095009238282</v>
      </c>
    </row>
    <row r="19" spans="2:4" x14ac:dyDescent="0.25">
      <c r="B19" s="3" t="s">
        <v>104</v>
      </c>
      <c r="C19" s="15">
        <f>(C7*C17-C6*C7)*C18</f>
        <v>7.3853441113641088E-2</v>
      </c>
    </row>
    <row r="21" spans="2:4" ht="15.95" customHeight="1" x14ac:dyDescent="0.25">
      <c r="B21" s="22" t="s">
        <v>105</v>
      </c>
      <c r="C21" s="20"/>
      <c r="D21" s="20"/>
    </row>
    <row r="22" spans="2:4" x14ac:dyDescent="0.25">
      <c r="B22" s="1" t="s">
        <v>106</v>
      </c>
      <c r="C22" s="16">
        <f>C19*12.5</f>
        <v>0.92316801392051362</v>
      </c>
    </row>
    <row r="23" spans="2:4" x14ac:dyDescent="0.25">
      <c r="B23" s="1" t="s">
        <v>107</v>
      </c>
      <c r="C23" s="7">
        <f>C22*C8</f>
        <v>923.16801392051366</v>
      </c>
    </row>
    <row r="25" spans="2:4" ht="15.95" customHeight="1" x14ac:dyDescent="0.25">
      <c r="B25" s="22" t="s">
        <v>108</v>
      </c>
      <c r="C25" s="20"/>
      <c r="D25" s="20"/>
    </row>
    <row r="26" spans="2:4" x14ac:dyDescent="0.25">
      <c r="B26" s="1" t="s">
        <v>109</v>
      </c>
      <c r="C26" s="1" t="s">
        <v>110</v>
      </c>
      <c r="D26" s="1" t="s">
        <v>111</v>
      </c>
    </row>
    <row r="27" spans="2:4" x14ac:dyDescent="0.25">
      <c r="B27" s="12">
        <v>1E-3</v>
      </c>
      <c r="C27" s="17">
        <f t="shared" ref="C27:C32" si="0">((0.45*(_xlfn.NORM.S.DIST((1-(0.12*(1-EXP(-50*B27))/(1-EXP(-50))+0.24*(1-(1-EXP(-50*B27))/(1-EXP(-50)))))^-0.5*(_xlfn.NORM.S.INV(B27))+((0.12*(1-EXP(-50*B27))/(1-EXP(-50))+0.24*(1-(1-EXP(-50*B27))/(1-EXP(-50))))/(1-(0.12*(1-EXP(-50*B27))/(1-EXP(-50))+0.24*(1-(1-EXP(-50*B27))/(1-EXP(-50))))))^0.5*(_xlfn.NORM.S.INV(0.999)),TRUE))-B27*0.45)*((1+(2.5-2.5)*((0.11852-0.05478*LN(B27))^2))/(1-1.5*((0.11852-0.05478*LN(B27))^2))))*12.5</f>
        <v>0.29653993339000473</v>
      </c>
      <c r="D27" s="9">
        <v>1</v>
      </c>
    </row>
    <row r="28" spans="2:4" x14ac:dyDescent="0.25">
      <c r="B28" s="12">
        <v>5.0000000000000001E-3</v>
      </c>
      <c r="C28" s="17">
        <f t="shared" si="0"/>
        <v>0.69611736372111765</v>
      </c>
      <c r="D28" s="9">
        <v>1</v>
      </c>
    </row>
    <row r="29" spans="2:4" x14ac:dyDescent="0.25">
      <c r="B29" s="12">
        <v>0.01</v>
      </c>
      <c r="C29" s="17">
        <f t="shared" si="0"/>
        <v>0.92316801392051362</v>
      </c>
      <c r="D29" s="9">
        <v>1</v>
      </c>
    </row>
    <row r="30" spans="2:4" x14ac:dyDescent="0.25">
      <c r="B30" s="12">
        <v>0.05</v>
      </c>
      <c r="C30" s="17">
        <f t="shared" si="0"/>
        <v>1.4985440893905688</v>
      </c>
      <c r="D30" s="9">
        <v>1</v>
      </c>
    </row>
    <row r="31" spans="2:4" x14ac:dyDescent="0.25">
      <c r="B31" s="12">
        <v>0.2</v>
      </c>
      <c r="C31" s="17">
        <f t="shared" si="0"/>
        <v>2.3823159641064158</v>
      </c>
      <c r="D31" s="9">
        <v>1</v>
      </c>
    </row>
    <row r="32" spans="2:4" x14ac:dyDescent="0.25">
      <c r="B32" s="12">
        <v>0.5</v>
      </c>
      <c r="C32" s="17">
        <f t="shared" si="0"/>
        <v>2.1786912174984745</v>
      </c>
      <c r="D32" s="9">
        <v>1</v>
      </c>
    </row>
    <row r="34" spans="2:4" ht="54.95" customHeight="1" x14ac:dyDescent="0.25">
      <c r="B34" s="23" t="s">
        <v>112</v>
      </c>
      <c r="C34" s="20"/>
      <c r="D34" s="20"/>
    </row>
  </sheetData>
  <mergeCells count="7">
    <mergeCell ref="B2:D2"/>
    <mergeCell ref="B34:D34"/>
    <mergeCell ref="B11:D11"/>
    <mergeCell ref="B3:D3"/>
    <mergeCell ref="B5:D5"/>
    <mergeCell ref="B21:D21"/>
    <mergeCell ref="B25:D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6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42" customWidth="1"/>
    <col min="3" max="3" width="18" customWidth="1"/>
    <col min="4" max="4" width="40" customWidth="1"/>
  </cols>
  <sheetData>
    <row r="2" spans="2:4" ht="21.95" customHeight="1" x14ac:dyDescent="0.25">
      <c r="B2" s="21" t="s">
        <v>113</v>
      </c>
      <c r="C2" s="20"/>
      <c r="D2" s="20"/>
    </row>
    <row r="3" spans="2:4" x14ac:dyDescent="0.25">
      <c r="B3" s="19" t="s">
        <v>114</v>
      </c>
      <c r="C3" s="20"/>
      <c r="D3" s="20"/>
    </row>
    <row r="5" spans="2:4" ht="15.95" customHeight="1" x14ac:dyDescent="0.25">
      <c r="B5" s="22" t="s">
        <v>115</v>
      </c>
      <c r="C5" s="20"/>
      <c r="D5" s="20"/>
    </row>
    <row r="6" spans="2:4" x14ac:dyDescent="0.25">
      <c r="B6" s="3" t="s">
        <v>116</v>
      </c>
      <c r="C6" s="11">
        <f>'1_MODAL_CET1_AT1_T2'!C24</f>
        <v>6400</v>
      </c>
    </row>
    <row r="7" spans="2:4" x14ac:dyDescent="0.25">
      <c r="B7" s="3" t="s">
        <v>117</v>
      </c>
      <c r="C7" s="11">
        <f>'1_MODAL_CET1_AT1_T2'!C16</f>
        <v>5350</v>
      </c>
    </row>
    <row r="8" spans="2:4" x14ac:dyDescent="0.25">
      <c r="B8" s="3" t="s">
        <v>118</v>
      </c>
      <c r="C8" s="11">
        <f>'1_MODAL_CET1_AT1_T2'!C12</f>
        <v>4850</v>
      </c>
    </row>
    <row r="9" spans="2:4" x14ac:dyDescent="0.25">
      <c r="B9" s="3" t="s">
        <v>119</v>
      </c>
      <c r="C9" s="11">
        <f>'2_RWA_STANDARDIZED'!C23</f>
        <v>25000</v>
      </c>
    </row>
    <row r="11" spans="2:4" ht="15.95" customHeight="1" x14ac:dyDescent="0.25">
      <c r="B11" s="22" t="s">
        <v>120</v>
      </c>
      <c r="C11" s="20"/>
      <c r="D11" s="20"/>
    </row>
    <row r="12" spans="2:4" x14ac:dyDescent="0.25">
      <c r="B12" s="1" t="s">
        <v>121</v>
      </c>
      <c r="C12" s="16">
        <f>C6/C9</f>
        <v>0.25600000000000001</v>
      </c>
    </row>
    <row r="13" spans="2:4" x14ac:dyDescent="0.25">
      <c r="B13" s="1" t="s">
        <v>122</v>
      </c>
      <c r="C13" s="16">
        <f>C7/C9</f>
        <v>0.214</v>
      </c>
    </row>
    <row r="14" spans="2:4" x14ac:dyDescent="0.25">
      <c r="B14" s="1" t="s">
        <v>123</v>
      </c>
      <c r="C14" s="16">
        <f>C8/C9</f>
        <v>0.19400000000000001</v>
      </c>
    </row>
    <row r="16" spans="2:4" ht="15.95" customHeight="1" x14ac:dyDescent="0.25">
      <c r="B16" s="22" t="s">
        <v>124</v>
      </c>
      <c r="C16" s="20"/>
      <c r="D16" s="20"/>
    </row>
    <row r="17" spans="2:4" x14ac:dyDescent="0.25">
      <c r="B17" s="3" t="s">
        <v>125</v>
      </c>
      <c r="C17" s="9">
        <v>2.5000000000000001E-2</v>
      </c>
    </row>
    <row r="18" spans="2:4" x14ac:dyDescent="0.25">
      <c r="B18" s="3" t="s">
        <v>126</v>
      </c>
      <c r="C18" s="9">
        <v>0</v>
      </c>
    </row>
    <row r="19" spans="2:4" x14ac:dyDescent="0.25">
      <c r="B19" s="3" t="s">
        <v>127</v>
      </c>
      <c r="C19" s="9">
        <v>0</v>
      </c>
    </row>
    <row r="21" spans="2:4" ht="15.95" customHeight="1" x14ac:dyDescent="0.25">
      <c r="B21" s="22" t="s">
        <v>128</v>
      </c>
      <c r="C21" s="20"/>
      <c r="D21" s="20"/>
    </row>
    <row r="22" spans="2:4" x14ac:dyDescent="0.25">
      <c r="B22" s="1" t="s">
        <v>129</v>
      </c>
      <c r="C22" s="17">
        <f>0.08+C17+C18+C19</f>
        <v>0.10500000000000001</v>
      </c>
    </row>
    <row r="23" spans="2:4" x14ac:dyDescent="0.25">
      <c r="B23" s="1" t="s">
        <v>130</v>
      </c>
      <c r="C23" s="17">
        <f>0.06+C17+C18+C19</f>
        <v>8.4999999999999992E-2</v>
      </c>
    </row>
    <row r="24" spans="2:4" x14ac:dyDescent="0.25">
      <c r="B24" s="1" t="s">
        <v>131</v>
      </c>
      <c r="C24" s="17">
        <f>0.045+C17+C18+C19</f>
        <v>7.0000000000000007E-2</v>
      </c>
    </row>
    <row r="25" spans="2:4" x14ac:dyDescent="0.25">
      <c r="B25" s="1" t="s">
        <v>132</v>
      </c>
      <c r="C25" s="16">
        <f>C12-C22</f>
        <v>0.151</v>
      </c>
    </row>
    <row r="26" spans="2:4" x14ac:dyDescent="0.25">
      <c r="B26" s="1" t="s">
        <v>133</v>
      </c>
      <c r="C26" s="18" t="str">
        <f>IF(AND(C12&gt;=C22,C13&gt;=C23,C14&gt;=C24),"MEMENUHI","TIDAK MEMENUHI")</f>
        <v>MEMENUHI</v>
      </c>
    </row>
  </sheetData>
  <mergeCells count="6">
    <mergeCell ref="B11:D11"/>
    <mergeCell ref="B3:D3"/>
    <mergeCell ref="B5:D5"/>
    <mergeCell ref="B2:D2"/>
    <mergeCell ref="B21:D21"/>
    <mergeCell ref="B16:D16"/>
  </mergeCells>
  <dataValidations count="1">
    <dataValidation type="list" sqref="C19" xr:uid="{00000000-0002-0000-0400-000000000000}">
      <formula1>"0%,1%,1.5%,2%,2.5%"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2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36" customWidth="1"/>
    <col min="3" max="3" width="16" customWidth="1"/>
    <col min="4" max="4" width="14" customWidth="1"/>
    <col min="5" max="5" width="16" customWidth="1"/>
    <col min="6" max="6" width="30" customWidth="1"/>
  </cols>
  <sheetData>
    <row r="2" spans="2:6" ht="21.95" customHeight="1" x14ac:dyDescent="0.25">
      <c r="B2" s="21" t="s">
        <v>134</v>
      </c>
      <c r="C2" s="20"/>
      <c r="D2" s="20"/>
      <c r="E2" s="20"/>
      <c r="F2" s="20"/>
    </row>
    <row r="3" spans="2:6" x14ac:dyDescent="0.25">
      <c r="B3" s="19" t="s">
        <v>135</v>
      </c>
      <c r="C3" s="20"/>
      <c r="D3" s="20"/>
      <c r="E3" s="20"/>
      <c r="F3" s="20"/>
    </row>
    <row r="5" spans="2:6" ht="15.95" customHeight="1" x14ac:dyDescent="0.25">
      <c r="B5" s="22" t="s">
        <v>136</v>
      </c>
      <c r="C5" s="20"/>
      <c r="D5" s="20"/>
      <c r="E5" s="20"/>
      <c r="F5" s="20"/>
    </row>
    <row r="6" spans="2:6" x14ac:dyDescent="0.25">
      <c r="B6" s="1" t="s">
        <v>137</v>
      </c>
      <c r="C6" s="1" t="s">
        <v>138</v>
      </c>
      <c r="D6" s="1" t="s">
        <v>139</v>
      </c>
      <c r="E6" s="1" t="s">
        <v>140</v>
      </c>
      <c r="F6" s="1" t="s">
        <v>141</v>
      </c>
    </row>
    <row r="7" spans="2:6" x14ac:dyDescent="0.25">
      <c r="B7" s="3" t="s">
        <v>142</v>
      </c>
      <c r="C7" s="5">
        <v>1500</v>
      </c>
      <c r="D7" s="3" t="s">
        <v>143</v>
      </c>
      <c r="E7" s="9">
        <v>0</v>
      </c>
      <c r="F7" s="10">
        <f>C7*(1-E7)</f>
        <v>1500</v>
      </c>
    </row>
    <row r="8" spans="2:6" x14ac:dyDescent="0.25">
      <c r="B8" s="3" t="s">
        <v>144</v>
      </c>
      <c r="C8" s="5">
        <v>4000</v>
      </c>
      <c r="D8" s="3" t="s">
        <v>143</v>
      </c>
      <c r="E8" s="9">
        <v>0</v>
      </c>
      <c r="F8" s="10">
        <f>C8*(1-E8)</f>
        <v>4000</v>
      </c>
    </row>
    <row r="9" spans="2:6" x14ac:dyDescent="0.25">
      <c r="B9" s="3" t="s">
        <v>145</v>
      </c>
      <c r="C9" s="5">
        <v>0</v>
      </c>
      <c r="D9" s="3" t="s">
        <v>143</v>
      </c>
      <c r="E9" s="9">
        <v>0</v>
      </c>
      <c r="F9" s="10">
        <f>C9*(1-E9)</f>
        <v>0</v>
      </c>
    </row>
    <row r="10" spans="2:6" x14ac:dyDescent="0.25">
      <c r="B10" s="3" t="s">
        <v>146</v>
      </c>
      <c r="C10" s="5">
        <v>800</v>
      </c>
      <c r="D10" s="3" t="s">
        <v>147</v>
      </c>
      <c r="E10" s="9">
        <v>0.15</v>
      </c>
      <c r="F10" s="10">
        <f>C10*(1-E10)</f>
        <v>680</v>
      </c>
    </row>
    <row r="11" spans="2:6" x14ac:dyDescent="0.25">
      <c r="B11" s="1" t="s">
        <v>148</v>
      </c>
      <c r="F11" s="7">
        <f>SUM(F7:F10)</f>
        <v>6180</v>
      </c>
    </row>
    <row r="13" spans="2:6" ht="15.95" customHeight="1" x14ac:dyDescent="0.25">
      <c r="B13" s="22" t="s">
        <v>149</v>
      </c>
      <c r="C13" s="20"/>
      <c r="D13" s="20"/>
      <c r="E13" s="20"/>
      <c r="F13" s="20"/>
    </row>
    <row r="14" spans="2:6" x14ac:dyDescent="0.25">
      <c r="B14" s="1" t="s">
        <v>137</v>
      </c>
      <c r="C14" s="1" t="s">
        <v>138</v>
      </c>
      <c r="E14" s="1" t="s">
        <v>150</v>
      </c>
      <c r="F14" s="1" t="s">
        <v>151</v>
      </c>
    </row>
    <row r="15" spans="2:6" x14ac:dyDescent="0.25">
      <c r="B15" s="3" t="s">
        <v>152</v>
      </c>
      <c r="C15" s="5">
        <v>8000</v>
      </c>
      <c r="E15" s="9">
        <v>0.03</v>
      </c>
      <c r="F15" s="10">
        <f>C15*E15</f>
        <v>240</v>
      </c>
    </row>
    <row r="16" spans="2:6" x14ac:dyDescent="0.25">
      <c r="B16" s="3" t="s">
        <v>153</v>
      </c>
      <c r="C16" s="5">
        <v>3000</v>
      </c>
      <c r="E16" s="9">
        <v>0.1</v>
      </c>
      <c r="F16" s="10">
        <f>C16*E16</f>
        <v>300</v>
      </c>
    </row>
    <row r="17" spans="2:6" x14ac:dyDescent="0.25">
      <c r="B17" s="3" t="s">
        <v>154</v>
      </c>
      <c r="C17" s="5">
        <v>5000</v>
      </c>
      <c r="E17" s="9">
        <v>0.25</v>
      </c>
      <c r="F17" s="10">
        <f>C17*E17</f>
        <v>1250</v>
      </c>
    </row>
    <row r="18" spans="2:6" x14ac:dyDescent="0.25">
      <c r="B18" s="3" t="s">
        <v>155</v>
      </c>
      <c r="C18" s="5">
        <v>2000</v>
      </c>
      <c r="E18" s="9">
        <v>1</v>
      </c>
      <c r="F18" s="10">
        <f>C18*E18</f>
        <v>2000</v>
      </c>
    </row>
    <row r="19" spans="2:6" x14ac:dyDescent="0.25">
      <c r="B19" s="3" t="s">
        <v>156</v>
      </c>
      <c r="C19" s="5">
        <v>3000</v>
      </c>
      <c r="E19" s="9">
        <v>0.1</v>
      </c>
      <c r="F19" s="10">
        <f>C19*E19</f>
        <v>300</v>
      </c>
    </row>
    <row r="20" spans="2:6" x14ac:dyDescent="0.25">
      <c r="B20" s="1" t="s">
        <v>157</v>
      </c>
      <c r="F20" s="7">
        <f>SUM(F15:F19)</f>
        <v>4090</v>
      </c>
    </row>
    <row r="22" spans="2:6" ht="15.95" customHeight="1" x14ac:dyDescent="0.25">
      <c r="B22" s="22" t="s">
        <v>158</v>
      </c>
      <c r="C22" s="20"/>
      <c r="D22" s="20"/>
      <c r="E22" s="20"/>
      <c r="F22" s="20"/>
    </row>
    <row r="23" spans="2:6" x14ac:dyDescent="0.25">
      <c r="B23" s="1" t="s">
        <v>137</v>
      </c>
      <c r="C23" s="1" t="s">
        <v>138</v>
      </c>
      <c r="E23" s="1" t="s">
        <v>159</v>
      </c>
      <c r="F23" s="1" t="s">
        <v>160</v>
      </c>
    </row>
    <row r="24" spans="2:6" x14ac:dyDescent="0.25">
      <c r="B24" s="3" t="s">
        <v>161</v>
      </c>
      <c r="C24" s="5">
        <v>2000</v>
      </c>
      <c r="E24" s="9">
        <v>0.5</v>
      </c>
      <c r="F24" s="10">
        <f>C24*E24</f>
        <v>1000</v>
      </c>
    </row>
    <row r="25" spans="2:6" x14ac:dyDescent="0.25">
      <c r="B25" s="3" t="s">
        <v>162</v>
      </c>
      <c r="C25" s="5">
        <v>1500</v>
      </c>
      <c r="E25" s="9">
        <v>0</v>
      </c>
      <c r="F25" s="10">
        <f>C25*E25</f>
        <v>0</v>
      </c>
    </row>
    <row r="26" spans="2:6" x14ac:dyDescent="0.25">
      <c r="B26" s="1" t="s">
        <v>163</v>
      </c>
      <c r="F26" s="6">
        <f>SUM(F24:F25)</f>
        <v>1000</v>
      </c>
    </row>
    <row r="27" spans="2:6" x14ac:dyDescent="0.25">
      <c r="B27" s="1" t="s">
        <v>164</v>
      </c>
      <c r="F27" s="6">
        <f>0.75*F20</f>
        <v>3067.5</v>
      </c>
    </row>
    <row r="28" spans="2:6" x14ac:dyDescent="0.25">
      <c r="B28" s="1" t="s">
        <v>165</v>
      </c>
      <c r="F28" s="7">
        <f>MIN(F26,F27)</f>
        <v>1000</v>
      </c>
    </row>
    <row r="30" spans="2:6" ht="15.95" customHeight="1" x14ac:dyDescent="0.25">
      <c r="B30" s="22" t="s">
        <v>166</v>
      </c>
      <c r="C30" s="20"/>
      <c r="D30" s="20"/>
      <c r="E30" s="20"/>
      <c r="F30" s="20"/>
    </row>
    <row r="31" spans="2:6" x14ac:dyDescent="0.25">
      <c r="B31" s="1" t="s">
        <v>167</v>
      </c>
      <c r="F31" s="7">
        <f>F20-F28</f>
        <v>3090</v>
      </c>
    </row>
    <row r="32" spans="2:6" x14ac:dyDescent="0.25">
      <c r="B32" s="1" t="s">
        <v>168</v>
      </c>
      <c r="F32" s="16">
        <f>F11/F31</f>
        <v>2</v>
      </c>
    </row>
  </sheetData>
  <mergeCells count="6">
    <mergeCell ref="B30:F30"/>
    <mergeCell ref="B2:F2"/>
    <mergeCell ref="B3:F3"/>
    <mergeCell ref="B5:F5"/>
    <mergeCell ref="B22:F22"/>
    <mergeCell ref="B13:F1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22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40" customWidth="1"/>
    <col min="3" max="3" width="16" customWidth="1"/>
    <col min="4" max="4" width="14" customWidth="1"/>
    <col min="5" max="5" width="16" customWidth="1"/>
    <col min="6" max="6" width="40" customWidth="1"/>
  </cols>
  <sheetData>
    <row r="2" spans="2:7" ht="21.95" customHeight="1" x14ac:dyDescent="0.25">
      <c r="B2" s="21" t="s">
        <v>169</v>
      </c>
      <c r="C2" s="20"/>
      <c r="D2" s="20"/>
      <c r="E2" s="20"/>
      <c r="F2" s="20"/>
    </row>
    <row r="3" spans="2:7" x14ac:dyDescent="0.25">
      <c r="B3" s="19" t="s">
        <v>170</v>
      </c>
      <c r="C3" s="20"/>
      <c r="D3" s="20"/>
      <c r="E3" s="20"/>
      <c r="F3" s="20"/>
    </row>
    <row r="5" spans="2:7" ht="15.95" customHeight="1" x14ac:dyDescent="0.25">
      <c r="B5" s="22" t="s">
        <v>171</v>
      </c>
      <c r="C5" s="20"/>
      <c r="D5" s="20"/>
      <c r="E5" s="20"/>
      <c r="F5" s="20"/>
    </row>
    <row r="6" spans="2:7" x14ac:dyDescent="0.25">
      <c r="B6" s="1" t="s">
        <v>137</v>
      </c>
      <c r="C6" s="1" t="s">
        <v>138</v>
      </c>
      <c r="E6" s="1" t="s">
        <v>172</v>
      </c>
      <c r="F6" s="1" t="s">
        <v>173</v>
      </c>
    </row>
    <row r="7" spans="2:7" ht="22.5" x14ac:dyDescent="0.25">
      <c r="B7" s="3" t="s">
        <v>174</v>
      </c>
      <c r="C7" s="11">
        <f>'1_MODAL_CET1_AT1_T2'!C24</f>
        <v>6400</v>
      </c>
      <c r="E7" s="9">
        <v>1</v>
      </c>
      <c r="F7" s="10">
        <f>C7*E7</f>
        <v>6400</v>
      </c>
      <c r="G7" s="4" t="s">
        <v>175</v>
      </c>
    </row>
    <row r="8" spans="2:7" x14ac:dyDescent="0.25">
      <c r="B8" s="3" t="s">
        <v>176</v>
      </c>
      <c r="C8" s="5">
        <v>10000</v>
      </c>
      <c r="E8" s="9">
        <v>0.9</v>
      </c>
      <c r="F8" s="10">
        <f>C8*E8</f>
        <v>9000</v>
      </c>
    </row>
    <row r="9" spans="2:7" x14ac:dyDescent="0.25">
      <c r="B9" s="3" t="s">
        <v>153</v>
      </c>
      <c r="C9" s="5">
        <v>4000</v>
      </c>
      <c r="E9" s="9">
        <v>0.5</v>
      </c>
      <c r="F9" s="10">
        <f>C9*E9</f>
        <v>2000</v>
      </c>
    </row>
    <row r="10" spans="2:7" x14ac:dyDescent="0.25">
      <c r="B10" s="3" t="s">
        <v>177</v>
      </c>
      <c r="C10" s="5">
        <v>3000</v>
      </c>
      <c r="E10" s="9">
        <v>0</v>
      </c>
      <c r="F10" s="10">
        <f>C10*E10</f>
        <v>0</v>
      </c>
    </row>
    <row r="11" spans="2:7" x14ac:dyDescent="0.25">
      <c r="B11" s="1" t="s">
        <v>178</v>
      </c>
      <c r="F11" s="7">
        <f>SUM(F7:F10)</f>
        <v>17400</v>
      </c>
    </row>
    <row r="13" spans="2:7" ht="15.95" customHeight="1" x14ac:dyDescent="0.25">
      <c r="B13" s="22" t="s">
        <v>179</v>
      </c>
      <c r="C13" s="20"/>
      <c r="D13" s="20"/>
      <c r="E13" s="20"/>
      <c r="F13" s="20"/>
    </row>
    <row r="14" spans="2:7" x14ac:dyDescent="0.25">
      <c r="B14" s="1" t="s">
        <v>137</v>
      </c>
      <c r="C14" s="1" t="s">
        <v>138</v>
      </c>
      <c r="E14" s="1" t="s">
        <v>180</v>
      </c>
      <c r="F14" s="1" t="s">
        <v>181</v>
      </c>
    </row>
    <row r="15" spans="2:7" x14ac:dyDescent="0.25">
      <c r="B15" s="3" t="s">
        <v>182</v>
      </c>
      <c r="C15" s="5">
        <v>5500</v>
      </c>
      <c r="E15" s="9">
        <v>0.05</v>
      </c>
      <c r="F15" s="10">
        <f>C15*E15</f>
        <v>275</v>
      </c>
    </row>
    <row r="16" spans="2:7" x14ac:dyDescent="0.25">
      <c r="B16" s="3" t="s">
        <v>183</v>
      </c>
      <c r="C16" s="5">
        <v>6000</v>
      </c>
      <c r="E16" s="9">
        <v>0.65</v>
      </c>
      <c r="F16" s="10">
        <f>C16*E16</f>
        <v>3900</v>
      </c>
    </row>
    <row r="17" spans="2:6" x14ac:dyDescent="0.25">
      <c r="B17" s="3" t="s">
        <v>184</v>
      </c>
      <c r="C17" s="5">
        <v>9500</v>
      </c>
      <c r="E17" s="9">
        <v>0.85</v>
      </c>
      <c r="F17" s="10">
        <f>C17*E17</f>
        <v>8075</v>
      </c>
    </row>
    <row r="18" spans="2:6" x14ac:dyDescent="0.25">
      <c r="B18" s="3" t="s">
        <v>185</v>
      </c>
      <c r="C18" s="5">
        <v>1150</v>
      </c>
      <c r="E18" s="9">
        <v>1</v>
      </c>
      <c r="F18" s="10">
        <f>C18*E18</f>
        <v>1150</v>
      </c>
    </row>
    <row r="19" spans="2:6" x14ac:dyDescent="0.25">
      <c r="B19" s="1" t="s">
        <v>186</v>
      </c>
      <c r="F19" s="7">
        <f>SUM(F15:F18)</f>
        <v>13400</v>
      </c>
    </row>
    <row r="21" spans="2:6" ht="15.95" customHeight="1" x14ac:dyDescent="0.25">
      <c r="B21" s="22" t="s">
        <v>187</v>
      </c>
      <c r="C21" s="20"/>
      <c r="D21" s="20"/>
      <c r="E21" s="20"/>
      <c r="F21" s="20"/>
    </row>
    <row r="22" spans="2:6" x14ac:dyDescent="0.25">
      <c r="B22" s="1" t="s">
        <v>188</v>
      </c>
      <c r="F22" s="16">
        <f>F11/F19</f>
        <v>1.2985074626865671</v>
      </c>
    </row>
  </sheetData>
  <mergeCells count="5">
    <mergeCell ref="B21:F21"/>
    <mergeCell ref="B2:F2"/>
    <mergeCell ref="B3:F3"/>
    <mergeCell ref="B5:F5"/>
    <mergeCell ref="B13:F1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4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40" customWidth="1"/>
    <col min="3" max="3" width="18" customWidth="1"/>
    <col min="4" max="4" width="40" customWidth="1"/>
  </cols>
  <sheetData>
    <row r="2" spans="2:4" ht="21.95" customHeight="1" x14ac:dyDescent="0.25">
      <c r="B2" s="21" t="s">
        <v>189</v>
      </c>
      <c r="C2" s="20"/>
      <c r="D2" s="20"/>
    </row>
    <row r="3" spans="2:4" x14ac:dyDescent="0.25">
      <c r="B3" s="19" t="s">
        <v>190</v>
      </c>
      <c r="C3" s="20"/>
      <c r="D3" s="20"/>
    </row>
    <row r="5" spans="2:4" ht="15.95" customHeight="1" x14ac:dyDescent="0.25">
      <c r="B5" s="22" t="s">
        <v>191</v>
      </c>
      <c r="C5" s="20"/>
      <c r="D5" s="20"/>
    </row>
    <row r="6" spans="2:4" x14ac:dyDescent="0.25">
      <c r="B6" s="3" t="s">
        <v>192</v>
      </c>
      <c r="C6" s="5">
        <v>30000</v>
      </c>
    </row>
    <row r="7" spans="2:4" x14ac:dyDescent="0.25">
      <c r="B7" s="3" t="s">
        <v>193</v>
      </c>
      <c r="C7" s="5">
        <v>3000</v>
      </c>
    </row>
    <row r="8" spans="2:4" x14ac:dyDescent="0.25">
      <c r="B8" s="1" t="s">
        <v>194</v>
      </c>
      <c r="C8" s="6">
        <f>C6+C7</f>
        <v>33000</v>
      </c>
    </row>
    <row r="10" spans="2:4" ht="15.95" customHeight="1" x14ac:dyDescent="0.25">
      <c r="B10" s="22" t="s">
        <v>195</v>
      </c>
      <c r="C10" s="20"/>
      <c r="D10" s="20"/>
    </row>
    <row r="11" spans="2:4" x14ac:dyDescent="0.25">
      <c r="B11" s="3" t="s">
        <v>196</v>
      </c>
      <c r="C11" s="11">
        <f>'1_MODAL_CET1_AT1_T2'!C16</f>
        <v>5350</v>
      </c>
    </row>
    <row r="12" spans="2:4" x14ac:dyDescent="0.25">
      <c r="B12" s="1" t="s">
        <v>197</v>
      </c>
      <c r="C12" s="16">
        <f>C11/C8</f>
        <v>0.16212121212121211</v>
      </c>
    </row>
    <row r="13" spans="2:4" x14ac:dyDescent="0.25">
      <c r="B13" s="3" t="s">
        <v>198</v>
      </c>
      <c r="C13" s="17">
        <v>0.03</v>
      </c>
    </row>
    <row r="14" spans="2:4" x14ac:dyDescent="0.25">
      <c r="B14" s="1" t="s">
        <v>199</v>
      </c>
      <c r="C14" s="18" t="str">
        <f>IF(C11/C8&gt;=C13,"MEMENUHI","TIDAK MEMENUHI")</f>
        <v>MEMENUHI</v>
      </c>
    </row>
  </sheetData>
  <mergeCells count="4">
    <mergeCell ref="B10:D10"/>
    <mergeCell ref="B3:D3"/>
    <mergeCell ref="B5:D5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0_PETUNJUK</vt:lpstr>
      <vt:lpstr>1_MODAL_CET1_AT1_T2</vt:lpstr>
      <vt:lpstr>2_RWA_STANDARDIZED</vt:lpstr>
      <vt:lpstr>3_RWA_IRB</vt:lpstr>
      <vt:lpstr>4_CAR_BUFFER</vt:lpstr>
      <vt:lpstr>5_LCR</vt:lpstr>
      <vt:lpstr>6_NSFR</vt:lpstr>
      <vt:lpstr>7_LEVERAGE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2026-07-19T18:06:26Z</dcterms:created>
  <dcterms:modified xsi:type="dcterms:W3CDTF">2026-07-19T18:06:27Z</dcterms:modified>
</cp:coreProperties>
</file>