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PETUNJUK" sheetId="1" state="visible" r:id="rId1"/>
    <sheet xmlns:r="http://schemas.openxmlformats.org/officeDocument/2006/relationships" name="1_INPUT" sheetId="2" state="visible" r:id="rId2"/>
    <sheet xmlns:r="http://schemas.openxmlformats.org/officeDocument/2006/relationships" name="2_BSM" sheetId="3" state="visible" r:id="rId3"/>
    <sheet xmlns:r="http://schemas.openxmlformats.org/officeDocument/2006/relationships" name="3_GREEKS" sheetId="4" state="visible" r:id="rId4"/>
    <sheet xmlns:r="http://schemas.openxmlformats.org/officeDocument/2006/relationships" name="4_PARITAS" sheetId="5" state="visible" r:id="rId5"/>
    <sheet xmlns:r="http://schemas.openxmlformats.org/officeDocument/2006/relationships" name="5_PAYOFF" sheetId="6" state="visible" r:id="rId6"/>
    <sheet xmlns:r="http://schemas.openxmlformats.org/officeDocument/2006/relationships" name="6_RUMUS" sheetId="7" state="visible" r:id="rId7"/>
  </sheets>
  <definedNames>
    <definedName name="S">'1_INPUT'!$D$6</definedName>
    <definedName name="K">'1_INPUT'!$D$7</definedName>
    <definedName name="r_in">'1_INPUT'!$D$8</definedName>
    <definedName name="Thari">'1_INPUT'!$D$9</definedName>
    <definedName name="sigma">'1_INPUT'!$D$10</definedName>
    <definedName name="T">'1_INPUT'!$D$12</definedName>
    <definedName name="d1_cell">'2_BSM'!$C$12</definedName>
    <definedName name="d2_cell">'2_BSM'!$C$13</definedName>
    <definedName name="Nd1">'2_BSM'!$C$14</definedName>
    <definedName name="Nd2">'2_BSM'!$C$15</definedName>
    <definedName name="Npdf_d1">'2_BSM'!$C$16</definedName>
    <definedName name="discFT">'2_BSM'!$C$19</definedName>
    <definedName name="CallPx">'2_BSM'!$C$24</definedName>
    <definedName name="PutPx">'2_BSM'!$C$25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0.0000"/>
    <numFmt numFmtId="165" formatCode="0.000000"/>
    <numFmt numFmtId="166" formatCode="&quot;Rp&quot;#,##0"/>
    <numFmt numFmtId="167" formatCode="&quot;Rp&quot;#,##0.00"/>
  </numFmts>
  <fonts count="7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</fonts>
  <fills count="8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BBDEFB"/>
      </patternFill>
    </fill>
    <fill>
      <patternFill patternType="solid">
        <fgColor rgb="00FFCDD2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 wrapText="1"/>
    </xf>
    <xf numFmtId="166" fontId="4" fillId="5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 wrapText="1"/>
    </xf>
    <xf numFmtId="164" fontId="4" fillId="6" borderId="1" applyAlignment="1" pivotButton="0" quotePrefix="0" xfId="0">
      <alignment horizontal="right" vertical="center"/>
    </xf>
    <xf numFmtId="164" fontId="4" fillId="7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165" fontId="4" fillId="7" borderId="1" applyAlignment="1" pivotButton="0" quotePrefix="0" xfId="0">
      <alignment horizontal="right" vertical="center"/>
    </xf>
    <xf numFmtId="167" fontId="4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7" fontId="4" fillId="5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 wrapText="1"/>
    </xf>
    <xf numFmtId="166" fontId="4" fillId="6" borderId="1" applyAlignment="1" pivotButton="0" quotePrefix="0" xfId="0">
      <alignment horizontal="right" vertical="center"/>
    </xf>
    <xf numFmtId="166" fontId="4" fillId="7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C8E6C9"/>
        </patternFill>
      </fill>
    </dxf>
    <dxf>
      <fill>
        <patternFill patternType="solid">
          <fgColor rgb="00FFCD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Payoff saat Jatuh Tempo — Long Call vs Long Put</a:t>
            </a:r>
          </a:p>
        </rich>
      </tx>
    </title>
    <plotArea>
      <lineChart>
        <grouping val="standard"/>
        <ser>
          <idx val="0"/>
          <order val="0"/>
          <tx>
            <strRef>
              <f>'5_PAYOFF'!C5</f>
            </strRef>
          </tx>
          <spPr>
            <a:ln xmlns:a="http://schemas.openxmlformats.org/drawingml/2006/main" w="22000">
              <a:solidFill>
                <a:srgbClr val="1F4E79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'5_PAYOFF'!$B$6:$B$46</f>
            </numRef>
          </cat>
          <val>
            <numRef>
              <f>'5_PAYOFF'!$C$6:$C$46</f>
            </numRef>
          </val>
        </ser>
        <ser>
          <idx val="1"/>
          <order val="1"/>
          <tx>
            <strRef>
              <f>'5_PAYOFF'!E5</f>
            </strRef>
          </tx>
          <spPr>
            <a:ln xmlns:a="http://schemas.openxmlformats.org/drawingml/2006/main" w="22000">
              <a:solidFill>
                <a:srgbClr val="C62828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'5_PAYOFF'!$B$6:$B$46</f>
            </numRef>
          </cat>
          <val>
            <numRef>
              <f>'5_PAYOFF'!$E$6:$E$46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Harga saham S_T (Rp)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Payoff (Rp)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Laba Bersih (Payoff - Premium) — Long Call vs Long Put</a:t>
            </a:r>
          </a:p>
        </rich>
      </tx>
    </title>
    <plotArea>
      <lineChart>
        <grouping val="standard"/>
        <ser>
          <idx val="0"/>
          <order val="0"/>
          <tx>
            <strRef>
              <f>'5_PAYOFF'!D5</f>
            </strRef>
          </tx>
          <spPr>
            <a:ln xmlns:a="http://schemas.openxmlformats.org/drawingml/2006/main" w="22000">
              <a:solidFill>
                <a:srgbClr val="1F4E79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'5_PAYOFF'!$B$6:$B$46</f>
            </numRef>
          </cat>
          <val>
            <numRef>
              <f>'5_PAYOFF'!$D$6:$D$46</f>
            </numRef>
          </val>
        </ser>
        <ser>
          <idx val="1"/>
          <order val="1"/>
          <tx>
            <strRef>
              <f>'5_PAYOFF'!F5</f>
            </strRef>
          </tx>
          <spPr>
            <a:ln xmlns:a="http://schemas.openxmlformats.org/drawingml/2006/main" w="22000">
              <a:solidFill>
                <a:srgbClr val="C62828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'5_PAYOFF'!$B$6:$B$46</f>
            </numRef>
          </cat>
          <val>
            <numRef>
              <f>'5_PAYOFF'!$F$6:$F$46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Harga saham S_T (Rp)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Laba bersih (Rp)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4</row>
      <rowOff>0</rowOff>
    </from>
    <ext cx="720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23</row>
      <rowOff>0</rowOff>
    </from>
    <ext cx="7200000" cy="39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75" customWidth="1" min="3" max="3"/>
  </cols>
  <sheetData>
    <row r="2" ht="30" customHeight="1">
      <c r="B2" s="1" t="inlineStr">
        <is>
          <t>BLACK-SCHOLES-MERTON CALCULATOR — PENILAIAN OPSI</t>
        </is>
      </c>
    </row>
    <row r="3">
      <c r="B3" s="2" t="inlineStr">
        <is>
          <t>Opsi saham BBCA (ilustratif) · BEI · 5 input -&gt; harga call/put + 5 Greek + grafik payoff</t>
        </is>
      </c>
    </row>
    <row r="5">
      <c r="B5" s="3" t="inlineStr">
        <is>
          <t>PAKAI CARA INI:</t>
        </is>
      </c>
    </row>
    <row r="6">
      <c r="B6" s="4" t="inlineStr">
        <is>
          <t>1. 1_INPUT</t>
        </is>
      </c>
      <c r="C6" s="5" t="inlineStr">
        <is>
          <t>Isi 5 sel BIRU: harga saham S, strike K, suku bunga r (SUN 10Y, thn), tenor (dalam HARI, otomatis ke tahun), volatilitas sigma (thn).</t>
        </is>
      </c>
    </row>
    <row r="7">
      <c r="B7" s="4" t="inlineStr">
        <is>
          <t>2. 2_BSM</t>
        </is>
      </c>
      <c r="C7" s="5" t="inlineStr">
        <is>
          <t>Otomatis hitung ln(S/K), drift, sigma*sqrt(T), d1, d2, N(d1), N(d2), faktor diskonto e^(-rT), harga call C dan put P. Semua rumus hidup.</t>
        </is>
      </c>
    </row>
    <row r="8">
      <c r="B8" s="4" t="inlineStr">
        <is>
          <t>3. 3_GREEKS</t>
        </is>
      </c>
      <c r="C8" s="5" t="inlineStr">
        <is>
          <t>Otomatis hitung delta, gamma, theta (per HARI), vega (per 1% sigma), rho (per 1% r) untuk call dan put, lengkap tanda.</t>
        </is>
      </c>
    </row>
    <row r="9">
      <c r="B9" s="4" t="inlineStr">
        <is>
          <t>4. 4_PARITAS</t>
        </is>
      </c>
      <c r="C9" s="5" t="inlineStr">
        <is>
          <t>Cek put-call parity: C - P harus sama dengan S - K*e^(-rT). Kotak hijau = OK, merah = ada selisih (cek pembulatan / bug).</t>
        </is>
      </c>
    </row>
    <row r="10">
      <c r="B10" s="4" t="inlineStr">
        <is>
          <t>5. 5_PAYOFF</t>
        </is>
      </c>
      <c r="C10" s="5" t="inlineStr">
        <is>
          <t>Tabel &amp; grafik payoff saat jatuh tempo untuk 41 tingkat harga saham. Lihat bentuk 'hoki-stik' dan titik impas (breakeven).</t>
        </is>
      </c>
    </row>
    <row r="11">
      <c r="B11" s="4" t="inlineStr">
        <is>
          <t>6. 6_RUMUS</t>
        </is>
      </c>
      <c r="C11" s="5" t="inlineStr">
        <is>
          <t>Ringkasan rumus BSM, definisi Greek, konversi tenor, dan asumsi model.</t>
        </is>
      </c>
    </row>
    <row r="13">
      <c r="B13" s="6" t="inlineStr">
        <is>
          <t>LEGENDA WARNA:</t>
        </is>
      </c>
    </row>
    <row r="14">
      <c r="B14" s="7" t="inlineStr">
        <is>
          <t>Input manual</t>
        </is>
      </c>
      <c r="C14" s="5" t="inlineStr">
        <is>
          <t>Sel biru = Anda ubah. Hanya di sheet 1_INPUT.</t>
        </is>
      </c>
    </row>
    <row r="15">
      <c r="B15" s="5" t="inlineStr">
        <is>
          <t>Formula hidup</t>
        </is>
      </c>
      <c r="C15" s="5" t="inlineStr">
        <is>
          <t>Sel hitam = dihitung otomatis dengan NORM.S.DIST. Jangan diketik ulang.</t>
        </is>
      </c>
    </row>
    <row r="16">
      <c r="B16" s="8" t="inlineStr">
        <is>
          <t>Header / sub-judul</t>
        </is>
      </c>
      <c r="C16" s="5" t="inlineStr">
        <is>
          <t>Sel hijau band = sub-judul; sel kuning = hasil kunci (harga call/put).</t>
        </is>
      </c>
    </row>
    <row r="18">
      <c r="B18" s="6" t="inlineStr">
        <is>
          <t>ANGKA KUNCI (default, BBCA ilustratif):</t>
        </is>
      </c>
    </row>
    <row r="19">
      <c r="B19" s="9" t="inlineStr">
        <is>
          <t>S = Rp 9.000   K = Rp 9.500   r = 6,5%/thn   T = 90 hari = 0,2466 thn   sigma = 22%/thn</t>
        </is>
      </c>
    </row>
    <row r="20">
      <c r="B20" s="9" t="inlineStr">
        <is>
          <t>d1 = -0,294   d2 = -0,403   N(d1) = 0,385   N(d2) = 0,343   (T presisi 90/365)</t>
        </is>
      </c>
    </row>
    <row r="21">
      <c r="B21" s="9" t="inlineStr">
        <is>
          <t>Call C ~ Rp 249   Put P ~ Rp 598   (call OTM, put ITM)</t>
        </is>
      </c>
    </row>
    <row r="22">
      <c r="B22" s="9" t="inlineStr">
        <is>
          <t>Paritas: C - P = S - K*e^(-rT)  -&gt;  -349 = -349  (terpenuhi, cocok presisi)</t>
        </is>
      </c>
    </row>
    <row r="23">
      <c r="B23" s="9" t="inlineStr">
        <is>
          <t>Catatan: artikel menyederhanakan T = 0,25 (1/4 thn) utk hitung tangan -&gt; Put ~Rp 594.</t>
        </is>
      </c>
    </row>
    <row r="25">
      <c r="B25" s="10" t="inlineStr">
        <is>
          <t>Catatan: BEI belum punya pasar opsi saham tunggal yang likuid (opsi indeks LQ45 tipis).</t>
        </is>
      </c>
    </row>
    <row r="26">
      <c r="B26" s="10" t="inlineStr">
        <is>
          <t>Contoh ini bersifat PEDAGOGIS: melatih mesin BSM dengan input realistis BBCA. Logika sama untuk waran terstruktur &amp; opsi indeks.</t>
        </is>
      </c>
    </row>
  </sheetData>
  <mergeCells count="9">
    <mergeCell ref="B21:C21"/>
    <mergeCell ref="B2:C2"/>
    <mergeCell ref="B25:C25"/>
    <mergeCell ref="B3:C3"/>
    <mergeCell ref="B19:C19"/>
    <mergeCell ref="B20:C20"/>
    <mergeCell ref="B23:C23"/>
    <mergeCell ref="B22:C22"/>
    <mergeCell ref="B26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16" customWidth="1" min="4" max="4"/>
    <col width="58" customWidth="1" min="5" max="5"/>
  </cols>
  <sheetData>
    <row r="2" ht="28" customHeight="1">
      <c r="B2" s="1" t="inlineStr">
        <is>
          <t>INPUT — 5 VARIABEL BLACK-SCHOLES</t>
        </is>
      </c>
    </row>
    <row r="3">
      <c r="B3" s="2" t="inlineStr">
        <is>
          <t>Ubah sel BIRU saja. Semua sheet lain menghitung ulang otomatis.</t>
        </is>
      </c>
    </row>
    <row r="5" ht="22" customHeight="1">
      <c r="B5" s="8" t="inlineStr">
        <is>
          <t>Variabel</t>
        </is>
      </c>
      <c r="C5" s="8" t="inlineStr">
        <is>
          <t>Simbol</t>
        </is>
      </c>
      <c r="D5" s="8" t="inlineStr">
        <is>
          <t>Nilai</t>
        </is>
      </c>
      <c r="E5" s="8" t="inlineStr">
        <is>
          <t>Satuan / Sumber</t>
        </is>
      </c>
    </row>
    <row r="6">
      <c r="B6" s="5" t="inlineStr">
        <is>
          <t>Harga saham sekarang</t>
        </is>
      </c>
      <c r="C6" s="11" t="inlineStr">
        <is>
          <t>S</t>
        </is>
      </c>
      <c r="D6" s="12" t="n">
        <v>9000</v>
      </c>
      <c r="E6" s="13" t="inlineStr">
        <is>
          <t>Rp / lembar   (pasar)</t>
        </is>
      </c>
    </row>
    <row r="7">
      <c r="B7" s="5" t="inlineStr">
        <is>
          <t>Strike price</t>
        </is>
      </c>
      <c r="C7" s="11" t="inlineStr">
        <is>
          <t>K</t>
        </is>
      </c>
      <c r="D7" s="12" t="n">
        <v>9500</v>
      </c>
      <c r="E7" s="13" t="inlineStr">
        <is>
          <t>Rp / lembar   (kontrak opsi)</t>
        </is>
      </c>
    </row>
    <row r="8">
      <c r="B8" s="5" t="inlineStr">
        <is>
          <t>Suku bunga bebas risiko</t>
        </is>
      </c>
      <c r="C8" s="11" t="inlineStr">
        <is>
          <t>r</t>
        </is>
      </c>
      <c r="D8" s="12" t="n">
        <v>0.065</v>
      </c>
      <c r="E8" s="13" t="inlineStr">
        <is>
          <t>% / tahun   (SUN 10Y BEI)</t>
        </is>
      </c>
    </row>
    <row r="9">
      <c r="B9" s="5" t="inlineStr">
        <is>
          <t>Tenor (umur opsi)</t>
        </is>
      </c>
      <c r="C9" s="11" t="inlineStr">
        <is>
          <t>T_hari</t>
        </is>
      </c>
      <c r="D9" s="12" t="n">
        <v>90</v>
      </c>
      <c r="E9" s="13" t="inlineStr">
        <is>
          <t>HARI  -&gt;  otomatis konversi ke tahun</t>
        </is>
      </c>
    </row>
    <row r="10">
      <c r="B10" s="5" t="inlineStr">
        <is>
          <t>Volatilitas (tahunan)</t>
        </is>
      </c>
      <c r="C10" s="11" t="inlineStr">
        <is>
          <t>sigma</t>
        </is>
      </c>
      <c r="D10" s="12" t="n">
        <v>0.22</v>
      </c>
      <c r="E10" s="13" t="inlineStr">
        <is>
          <t>% / tahun   (historis atau implied)</t>
        </is>
      </c>
    </row>
    <row r="12">
      <c r="B12" s="5" t="inlineStr">
        <is>
          <t>Tenor dalam TAHUN (T)</t>
        </is>
      </c>
      <c r="C12" s="11" t="inlineStr">
        <is>
          <t>T</t>
        </is>
      </c>
      <c r="D12" s="14">
        <f>Thari/365</f>
        <v/>
      </c>
      <c r="E12" s="13" t="inlineStr">
        <is>
          <t>'= T_hari / 365.  (Alternatif: /252 utk kalender trading.)</t>
        </is>
      </c>
    </row>
    <row r="14">
      <c r="B14" s="8" t="inlineStr">
        <is>
          <t>RINGKASAN KONDISI OPSI</t>
        </is>
      </c>
    </row>
    <row r="15">
      <c r="B15" s="5" t="inlineStr">
        <is>
          <t>Call moneyness</t>
        </is>
      </c>
      <c r="C15" s="15" t="inlineStr"/>
      <c r="D15" s="16">
        <f>IF(S&gt;K,"In-the-money (ITM)",IF(S=K,"At-the-money (ATM)","Out-of-the-money (OTM)"))</f>
        <v/>
      </c>
      <c r="E15" s="13" t="inlineStr">
        <is>
          <t>Call ITM kalau S &gt; K (hak beli murah).</t>
        </is>
      </c>
    </row>
    <row r="16">
      <c r="B16" s="5" t="inlineStr">
        <is>
          <t>Put moneyness</t>
        </is>
      </c>
      <c r="C16" s="15" t="inlineStr"/>
      <c r="D16" s="17">
        <f>IF(S&lt;K,"In-the-money (ITM)",IF(S=K,"At-the-money (ATM)","Out-of-the-money (OTM)"))</f>
        <v/>
      </c>
      <c r="E16" s="13" t="inlineStr">
        <is>
          <t>Put ITM kalau S &lt; K (hak jual mahal).</t>
        </is>
      </c>
    </row>
  </sheetData>
  <mergeCells count="3">
    <mergeCell ref="B14:E14"/>
    <mergeCell ref="B3:E3"/>
    <mergeCell ref="B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6" customWidth="1" min="2" max="2"/>
    <col width="14" customWidth="1" min="3" max="3"/>
    <col width="62" customWidth="1" min="4" max="4"/>
  </cols>
  <sheetData>
    <row r="2" ht="28" customHeight="1">
      <c r="B2" s="1" t="inlineStr">
        <is>
          <t>BLACK-SCHOLES — PERHITUNGAN INTI</t>
        </is>
      </c>
    </row>
    <row r="3">
      <c r="B3" s="2" t="inlineStr">
        <is>
          <t>Rumus hidup. C = S*N(d1) - K*e^(-rT)*N(d2).   P = K*e^(-rT)*N(-d2) - S*N(-d1).</t>
        </is>
      </c>
    </row>
    <row r="5" ht="22" customHeight="1">
      <c r="B5" s="8" t="inlineStr">
        <is>
          <t>Langkah / Variabel</t>
        </is>
      </c>
      <c r="C5" s="8" t="inlineStr">
        <is>
          <t>Nilai</t>
        </is>
      </c>
      <c r="D5" s="8" t="inlineStr">
        <is>
          <t>Formula</t>
        </is>
      </c>
    </row>
    <row r="6">
      <c r="B6" s="5" t="inlineStr">
        <is>
          <t>ln(S/K)</t>
        </is>
      </c>
      <c r="C6" s="14">
        <f>LN(S/K)</f>
        <v/>
      </c>
      <c r="D6" s="13" t="inlineStr">
        <is>
          <t>Logaritma natural rasio strike. &lt;0 jika call OTM.</t>
        </is>
      </c>
    </row>
    <row r="7">
      <c r="B7" s="5" t="inlineStr">
        <is>
          <t>Kuadrat volatilitas (sigma^2)</t>
        </is>
      </c>
      <c r="C7" s="14">
        <f>sigma^2</f>
        <v/>
      </c>
      <c r="D7" s="13" t="inlineStr">
        <is>
          <t>'= 0,0484 untuk sigma=22%.</t>
        </is>
      </c>
    </row>
    <row r="8">
      <c r="B8" s="5" t="inlineStr">
        <is>
          <t>sigma^2 / 2</t>
        </is>
      </c>
      <c r="C8" s="14">
        <f>sigma^2/2</f>
        <v/>
      </c>
      <c r="D8" s="13" t="inlineStr">
        <is>
          <t>Istilah Ito untuk lognormal drift.</t>
        </is>
      </c>
    </row>
    <row r="9">
      <c r="B9" s="5" t="inlineStr">
        <is>
          <t>(r + sigma^2/2) * T  [drift total]</t>
        </is>
      </c>
      <c r="C9" s="14">
        <f>(r_in+sigma^2/2)*T</f>
        <v/>
      </c>
      <c r="D9" s="13" t="inlineStr">
        <is>
          <t>Penyesuaian drift risk-neutral.</t>
        </is>
      </c>
    </row>
    <row r="10">
      <c r="B10" s="5" t="inlineStr">
        <is>
          <t>sigma * sqrt(T)  [vol total tenor]</t>
        </is>
      </c>
      <c r="C10" s="14">
        <f>sigma*SQRT(T)</f>
        <v/>
      </c>
      <c r="D10" s="13" t="inlineStr">
        <is>
          <t>Seberapa tersebar log-return selama T.</t>
        </is>
      </c>
    </row>
    <row r="11">
      <c r="B11" s="5" t="inlineStr">
        <is>
          <t>Pembilang d1</t>
        </is>
      </c>
      <c r="C11" s="14">
        <f>LN(S/K)+(r_in+sigma^2/2)*T</f>
        <v/>
      </c>
      <c r="D11" s="13" t="inlineStr">
        <is>
          <t>ln(S/K) + drift total.</t>
        </is>
      </c>
    </row>
    <row r="12">
      <c r="B12" s="5" t="inlineStr">
        <is>
          <t>d1</t>
        </is>
      </c>
      <c r="C12" s="14">
        <f>(LN(S/K)+(r_in+sigma^2/2)*T)/(sigma*SQRT(T))</f>
        <v/>
      </c>
      <c r="D12" s="13" t="inlineStr">
        <is>
          <t>d1 = pembilang / (sigma*sqrt(T)).</t>
        </is>
      </c>
    </row>
    <row r="13">
      <c r="B13" s="5" t="inlineStr">
        <is>
          <t>d2</t>
        </is>
      </c>
      <c r="C13" s="14">
        <f>d1-sigma*SQRT(T)</f>
        <v/>
      </c>
      <c r="D13" s="13" t="inlineStr">
        <is>
          <t>d2 = d1 - sigma*sqrt(T).</t>
        </is>
      </c>
    </row>
    <row r="14">
      <c r="B14" s="5" t="inlineStr">
        <is>
          <t>N(d1)  [probabilitas-adjusted]</t>
        </is>
      </c>
      <c r="C14" s="14">
        <f>NORM.S.DIST(d1,TRUE)</f>
        <v/>
      </c>
      <c r="D14" s="13" t="inlineStr">
        <is>
          <t>CDF normal standar. Juga = delta call.</t>
        </is>
      </c>
    </row>
    <row r="15">
      <c r="B15" s="5" t="inlineStr">
        <is>
          <t>N(d2)  [probabilitas eksekusi]</t>
        </is>
      </c>
      <c r="C15" s="14">
        <f>NORM.S.DIST(d2,TRUE)</f>
        <v/>
      </c>
      <c r="D15" s="13" t="inlineStr">
        <is>
          <t>Probabilitas risk-neutral call ITM saat T.</t>
        </is>
      </c>
    </row>
    <row r="16">
      <c r="B16" s="5" t="inlineStr">
        <is>
          <t>N'(d1)  [fungsi kepadatan]</t>
        </is>
      </c>
      <c r="C16" s="18">
        <f>NORM.S.DIST(d1,FALSE)</f>
        <v/>
      </c>
      <c r="D16" s="13" t="inlineStr">
        <is>
          <t>PDF normal. Dipakai di gamma, theta, vega.</t>
        </is>
      </c>
    </row>
    <row r="17">
      <c r="B17" s="5" t="inlineStr">
        <is>
          <t>N(-d1)</t>
        </is>
      </c>
      <c r="C17" s="14">
        <f>NORM.S.DIST(-d1,TRUE)</f>
        <v/>
      </c>
      <c r="D17" s="13" t="inlineStr">
        <is>
          <t>'= 1 - N(d1).</t>
        </is>
      </c>
    </row>
    <row r="18">
      <c r="B18" s="5" t="inlineStr">
        <is>
          <t>N(-d2)</t>
        </is>
      </c>
      <c r="C18" s="14">
        <f>NORM.S.DIST(-d2,TRUE)</f>
        <v/>
      </c>
      <c r="D18" s="13" t="inlineStr">
        <is>
          <t>'= 1 - N(d2).</t>
        </is>
      </c>
    </row>
    <row r="19">
      <c r="B19" s="5" t="inlineStr">
        <is>
          <t>Faktor diskonto  e^(-rT)</t>
        </is>
      </c>
      <c r="C19" s="14">
        <f>EXP(-r_in*T)</f>
        <v/>
      </c>
      <c r="D19" s="13" t="inlineStr">
        <is>
          <t>PV dari 1 rupiah dibayar di saat T.</t>
        </is>
      </c>
    </row>
    <row r="20">
      <c r="B20" s="5" t="inlineStr">
        <is>
          <t>S * N(d1)</t>
        </is>
      </c>
      <c r="C20" s="19">
        <f>S*NORM.S.DIST(d1,TRUE)</f>
        <v/>
      </c>
      <c r="D20" s="13" t="inlineStr">
        <is>
          <t>Suku pertama harga call.</t>
        </is>
      </c>
    </row>
    <row r="21">
      <c r="B21" s="5" t="inlineStr">
        <is>
          <t>K * e^(-rT) * N(d2)</t>
        </is>
      </c>
      <c r="C21" s="19">
        <f>K*EXP(-r_in*T)*NORM.S.DIST(d2,TRUE)</f>
        <v/>
      </c>
      <c r="D21" s="13" t="inlineStr">
        <is>
          <t>Suku kedua harga call (PV strike x prob).</t>
        </is>
      </c>
    </row>
    <row r="23">
      <c r="B23" s="8" t="inlineStr">
        <is>
          <t>HASIL — HARGA OPSI</t>
        </is>
      </c>
    </row>
    <row r="24">
      <c r="B24" s="20" t="inlineStr">
        <is>
          <t>Harga CALL  (C)</t>
        </is>
      </c>
      <c r="C24" s="21">
        <f>S*Nd1-K*discFT*Nd2</f>
        <v/>
      </c>
      <c r="D24" s="13" t="inlineStr">
        <is>
          <t>C = S*N(d1) - K*e^(-rT)*N(d2).</t>
        </is>
      </c>
    </row>
    <row r="25">
      <c r="B25" s="22" t="inlineStr">
        <is>
          <t>Harga PUT   (P)</t>
        </is>
      </c>
      <c r="C25" s="21">
        <f>K*discFT*NORM.S.DIST(-d2_cell,TRUE)-S*NORM.S.DIST(-d1_cell,TRUE)</f>
        <v/>
      </c>
      <c r="D25" s="13" t="inlineStr">
        <is>
          <t>P = K*e^(-rT)*N(-d2) - S*N(-d1).</t>
        </is>
      </c>
    </row>
    <row r="27">
      <c r="B27" s="5" t="inlineStr">
        <is>
          <t>Intrinsic value call  (max(S-K,0))</t>
        </is>
      </c>
      <c r="C27" s="19">
        <f>MAX(S-K,0)</f>
        <v/>
      </c>
      <c r="D27" s="13" t="inlineStr">
        <is>
          <t>Payoff jika eksekusi SEKARANG (gaya Eropa: tidak bisa, tp pembanding).</t>
        </is>
      </c>
    </row>
    <row r="28">
      <c r="B28" s="5" t="inlineStr">
        <is>
          <t>Nilai waktu call  (C - intrinsic)</t>
        </is>
      </c>
      <c r="C28" s="19">
        <f>CallPx-MAX(S-K,0)</f>
        <v/>
      </c>
      <c r="D28" s="13" t="inlineStr">
        <is>
          <t>Premium di atas intrinsic = nilai waktu (kemungkinan menguntungkan).</t>
        </is>
      </c>
    </row>
    <row r="29">
      <c r="B29" s="5" t="inlineStr">
        <is>
          <t>Breakeven call (Saat T)</t>
        </is>
      </c>
      <c r="C29" s="19">
        <f>K+CallPx</f>
        <v/>
      </c>
      <c r="D29" s="13" t="inlineStr">
        <is>
          <t>Harga saham saat jatuh tempo supaya call impas (premium pulih).</t>
        </is>
      </c>
    </row>
    <row r="30">
      <c r="B30" s="5" t="inlineStr">
        <is>
          <t>Breakeven put (Saat T)</t>
        </is>
      </c>
      <c r="C30" s="19">
        <f>K-PutPx</f>
        <v/>
      </c>
      <c r="D30" s="13" t="inlineStr">
        <is>
          <t>Harga saham saat jatuh tempo supaya put impas.</t>
        </is>
      </c>
    </row>
  </sheetData>
  <mergeCells count="3">
    <mergeCell ref="B23:D23"/>
    <mergeCell ref="B3:D3"/>
    <mergeCell ref="B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E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6" customWidth="1" min="3" max="3"/>
    <col width="16" customWidth="1" min="4" max="4"/>
    <col width="50" customWidth="1" min="5" max="5"/>
  </cols>
  <sheetData>
    <row r="2" ht="28" customHeight="1">
      <c r="B2" s="1" t="inlineStr">
        <is>
          <t>THE GREEKS — 5 SENSITIVITAS HARGA OPSI</t>
        </is>
      </c>
    </row>
    <row r="3">
      <c r="B3" s="2" t="inlineStr">
        <is>
          <t>Delta = dHarga/dS. Gamma = dDelta/dS. Theta per HARI. Vega per 1% sigma. Rho per 1% r.</t>
        </is>
      </c>
    </row>
    <row r="5" ht="22" customHeight="1">
      <c r="B5" s="8" t="inlineStr">
        <is>
          <t>Greek</t>
        </is>
      </c>
      <c r="C5" s="8" t="inlineStr">
        <is>
          <t>Call</t>
        </is>
      </c>
      <c r="D5" s="8" t="inlineStr">
        <is>
          <t>Put</t>
        </is>
      </c>
      <c r="E5" s="8" t="inlineStr">
        <is>
          <t>Interpretasi</t>
        </is>
      </c>
    </row>
    <row r="6">
      <c r="B6" s="5" t="inlineStr">
        <is>
          <t>Delta (dHarga/dS, per Rp1 S)</t>
        </is>
      </c>
      <c r="C6" s="23">
        <f>Nd1</f>
        <v/>
      </c>
      <c r="D6" s="24">
        <f>Nd1-1</f>
        <v/>
      </c>
      <c r="E6" s="13" t="inlineStr">
        <is>
          <t>Rasio hedge. Call 0..1, Put -1..0. Jumlah saham utk hedge 1 opsi.</t>
        </is>
      </c>
    </row>
    <row r="7">
      <c r="B7" s="5" t="inlineStr">
        <is>
          <t>Gamma (dDelta/dS, per Rp1 S)</t>
        </is>
      </c>
      <c r="C7" s="25">
        <f>Npdf_d1/(S*sigma*SQRT(T))</f>
        <v/>
      </c>
      <c r="D7" s="26">
        <f>Npdf_d1/(S*sigma*SQRT(T))</f>
        <v/>
      </c>
      <c r="E7" s="13" t="inlineStr">
        <is>
          <t>Sama utk call &amp; put. Tertinggi di ATM mendekati jatuh tempo (gamma risk).</t>
        </is>
      </c>
    </row>
    <row r="8">
      <c r="B8" s="5" t="inlineStr">
        <is>
          <t>Theta per HARI  (Rp/hari)</t>
        </is>
      </c>
      <c r="C8" s="23">
        <f>(-S*Npdf_d1*sigma/(2*SQRT(T)) - r_in*K*discFT*Nd2)/365</f>
        <v/>
      </c>
      <c r="D8" s="24">
        <f>(-S*Npdf_d1*sigma/(2*SQRT(T)) + r_in*K*discFT*NORM.S.DIST(-d2_cell,TRUE))/365</f>
        <v/>
      </c>
      <c r="E8" s="13" t="inlineStr">
        <is>
          <t>Biasanya negatif. Opsi kehilangan nilai waktu setiap hari.</t>
        </is>
      </c>
    </row>
    <row r="9">
      <c r="B9" s="5" t="inlineStr">
        <is>
          <t>Vega per 1% sigma  (Rp / 1%)</t>
        </is>
      </c>
      <c r="C9" s="23">
        <f>S*Npdf_d1*SQRT(T)/100</f>
        <v/>
      </c>
      <c r="D9" s="24">
        <f>S*Npdf_d1*SQRT(T)/100</f>
        <v/>
      </c>
      <c r="E9" s="13" t="inlineStr">
        <is>
          <t>Positif utk semua opsi. Vega inilah yg diperdagangkan trader opsi.</t>
        </is>
      </c>
    </row>
    <row r="10">
      <c r="B10" s="5" t="inlineStr">
        <is>
          <t>Rho per 1% r  (Rp / 1%)</t>
        </is>
      </c>
      <c r="C10" s="23">
        <f>K*T*discFT*Nd2/100</f>
        <v/>
      </c>
      <c r="D10" s="24">
        <f>-K*T*discFT*NORM.S.DIST(-d2_cell,TRUE)/100</f>
        <v/>
      </c>
      <c r="E10" s="13" t="inlineStr">
        <is>
          <t>Call +, Put -. Greek terkecil utk tenor pendek.</t>
        </is>
      </c>
    </row>
    <row r="12">
      <c r="B12" s="8" t="inlineStr">
        <is>
          <t>TANDA UNTUK PEMBELI (LONG)</t>
        </is>
      </c>
    </row>
    <row r="13">
      <c r="B13" s="9" t="inlineStr">
        <is>
          <t>Call long: Delta+, Gamma+, Theta-, Vega+, Rho+.   Put long: Delta-, Gamma+, Theta-, Vega+, Rho-.</t>
        </is>
      </c>
    </row>
    <row r="14">
      <c r="B14" s="9" t="inlineStr">
        <is>
          <t>Pembeli selalu rugi theta &amp; untung gamma/vega. Arah (delta) dan bunga (rho) tergantung jenis.</t>
        </is>
      </c>
    </row>
  </sheetData>
  <mergeCells count="5">
    <mergeCell ref="B12:E12"/>
    <mergeCell ref="B13:E13"/>
    <mergeCell ref="B3:E3"/>
    <mergeCell ref="B2:E2"/>
    <mergeCell ref="B14:E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E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6" customWidth="1" min="2" max="2"/>
    <col width="18" customWidth="1" min="3" max="3"/>
    <col width="18" customWidth="1" min="4" max="4"/>
    <col width="46" customWidth="1" min="5" max="5"/>
  </cols>
  <sheetData>
    <row r="2" ht="28" customHeight="1">
      <c r="B2" s="1" t="inlineStr">
        <is>
          <t>PUT-CALL PARITY — CEK SILANG</t>
        </is>
      </c>
    </row>
    <row r="3">
      <c r="B3" s="2" t="inlineStr">
        <is>
          <t>C - P harus sama dengan S - K*e^(-rT). Pelanggaran = arbitrase.</t>
        </is>
      </c>
    </row>
    <row r="5" ht="22" customHeight="1">
      <c r="B5" s="8" t="inlineStr">
        <is>
          <t>Suku</t>
        </is>
      </c>
      <c r="C5" s="8" t="inlineStr">
        <is>
          <t>Nilai</t>
        </is>
      </c>
      <c r="D5" s="8" t="inlineStr">
        <is>
          <t>Formula</t>
        </is>
      </c>
      <c r="E5" s="8" t="inlineStr">
        <is>
          <t>Catatan</t>
        </is>
      </c>
    </row>
    <row r="6">
      <c r="B6" s="20" t="inlineStr">
        <is>
          <t>C - P  (sisi opsi)</t>
        </is>
      </c>
      <c r="C6" s="27">
        <f>CallPx-PutPx</f>
        <v/>
      </c>
      <c r="D6" s="28">
        <f>CallPx-PutPx</f>
        <v/>
      </c>
      <c r="E6" s="13" t="inlineStr">
        <is>
          <t>Selisih harga call dikurangi put.</t>
        </is>
      </c>
    </row>
    <row r="7">
      <c r="B7" s="22" t="inlineStr">
        <is>
          <t>S - K*e^(-rT)  (sisi underlying)</t>
        </is>
      </c>
      <c r="C7" s="27">
        <f>S-K*discFT</f>
        <v/>
      </c>
      <c r="D7" s="28">
        <f>S-K*EXP(-r_in*T)</f>
        <v/>
      </c>
      <c r="E7" s="13" t="inlineStr">
        <is>
          <t>Harga saham dikurangi PV strike.</t>
        </is>
      </c>
    </row>
    <row r="8">
      <c r="B8" s="29" t="inlineStr">
        <is>
          <t>Selisih absolut</t>
        </is>
      </c>
      <c r="C8" s="30">
        <f>ABS((CallPx-PutPx)-(S-K*discFT))</f>
        <v/>
      </c>
      <c r="D8" s="28">
        <f>ABS(LHS-RHS)</f>
        <v/>
      </c>
      <c r="E8" s="13" t="inlineStr">
        <is>
          <t>Harus ~Rp 0 (toleransi pembulatan).</t>
        </is>
      </c>
    </row>
    <row r="9">
      <c r="B9" s="29" t="inlineStr">
        <is>
          <t>Status paritas</t>
        </is>
      </c>
      <c r="C9" s="31">
        <f>IF(ABS((CallPx-PutPx)-(S-K*discFT))&lt;1,"TERPENUHI","PELANGGARAN")</f>
        <v/>
      </c>
      <c r="D9" s="28" t="inlineStr">
        <is>
          <t>Toleransi Rp 1.</t>
        </is>
      </c>
      <c r="E9" s="13" t="inlineStr">
        <is>
          <t>Hijau = OK, Merah = cek pembulatan atau bug.</t>
        </is>
      </c>
    </row>
    <row r="11">
      <c r="B11" s="8" t="inlineStr">
        <is>
          <t>INTUISI PARITAS</t>
        </is>
      </c>
    </row>
    <row r="12">
      <c r="B12" s="9" t="inlineStr">
        <is>
          <t>Portofolio A: long call + obligasi zero senilai K pada saat T  -&gt;  payoff max(S_T, K).</t>
        </is>
      </c>
    </row>
    <row r="13">
      <c r="B13" s="9" t="inlineStr">
        <is>
          <t>Portofolio B: long put + 1 saham                          -&gt;  payoff max(S_T, K).</t>
        </is>
      </c>
    </row>
    <row r="14">
      <c r="B14" s="9" t="inlineStr">
        <is>
          <t>Kedua portofolio identik saat jatuh tempo -&gt; harga hari ini harus sama -&gt; paritas.</t>
        </is>
      </c>
    </row>
  </sheetData>
  <mergeCells count="6">
    <mergeCell ref="B12:E12"/>
    <mergeCell ref="B13:E13"/>
    <mergeCell ref="B11:E11"/>
    <mergeCell ref="B3:E3"/>
    <mergeCell ref="B2:E2"/>
    <mergeCell ref="B14:E14"/>
  </mergeCells>
  <conditionalFormatting sqref="C9">
    <cfRule type="expression" priority="1" dxfId="0">
      <formula>$C$9="TERPENUHI"</formula>
    </cfRule>
    <cfRule type="expression" priority="2" dxfId="1">
      <formula>$C$9="PELANGGARAN"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G4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2" ht="28" customHeight="1">
      <c r="B2" s="1" t="inlineStr">
        <is>
          <t>DIAGRAM PAYOFF SAAT JATUH TEMPO</t>
        </is>
      </c>
    </row>
    <row r="3">
      <c r="B3" s="2" t="inlineStr">
        <is>
          <t>41 tingkat harga saham. Payoff long call = max(S_T-K,0); long put = max(K-S_T,0); laba bersih = payoff - premium.</t>
        </is>
      </c>
    </row>
    <row r="5" ht="24" customHeight="1">
      <c r="B5" s="8" t="inlineStr">
        <is>
          <t>Harga S_T (Rp)</t>
        </is>
      </c>
      <c r="C5" s="8" t="inlineStr">
        <is>
          <t>Payoff Call</t>
        </is>
      </c>
      <c r="D5" s="8" t="inlineStr">
        <is>
          <t>Laba Call (net)</t>
        </is>
      </c>
      <c r="E5" s="8" t="inlineStr">
        <is>
          <t>Payoff Put</t>
        </is>
      </c>
      <c r="F5" s="8" t="inlineStr">
        <is>
          <t>Laba Put (net)</t>
        </is>
      </c>
      <c r="G5" s="8" t="inlineStr">
        <is>
          <t>Catatan</t>
        </is>
      </c>
    </row>
    <row r="6">
      <c r="B6" s="19">
        <f>K*(0.5+0/40)</f>
        <v/>
      </c>
      <c r="C6" s="32">
        <f>MAX(B6-K,0)</f>
        <v/>
      </c>
      <c r="D6" s="19">
        <f>C6-CallPx</f>
        <v/>
      </c>
      <c r="E6" s="33">
        <f>MAX(K-B6,0)</f>
        <v/>
      </c>
      <c r="F6" s="19">
        <f>E6-PutPx</f>
        <v/>
      </c>
      <c r="G6" s="13">
        <f>IF(ABS(B6-S)&lt;K*0.001,"&lt;-- harga S sekarang","")</f>
        <v/>
      </c>
    </row>
    <row r="7">
      <c r="B7" s="19">
        <f>K*(0.5+1/40)</f>
        <v/>
      </c>
      <c r="C7" s="32">
        <f>MAX(B7-K,0)</f>
        <v/>
      </c>
      <c r="D7" s="19">
        <f>C7-CallPx</f>
        <v/>
      </c>
      <c r="E7" s="33">
        <f>MAX(K-B7,0)</f>
        <v/>
      </c>
      <c r="F7" s="19">
        <f>E7-PutPx</f>
        <v/>
      </c>
      <c r="G7" s="13">
        <f>IF(ABS(B7-S)&lt;K*0.001,"&lt;-- harga S sekarang","")</f>
        <v/>
      </c>
    </row>
    <row r="8">
      <c r="B8" s="19">
        <f>K*(0.5+2/40)</f>
        <v/>
      </c>
      <c r="C8" s="32">
        <f>MAX(B8-K,0)</f>
        <v/>
      </c>
      <c r="D8" s="19">
        <f>C8-CallPx</f>
        <v/>
      </c>
      <c r="E8" s="33">
        <f>MAX(K-B8,0)</f>
        <v/>
      </c>
      <c r="F8" s="19">
        <f>E8-PutPx</f>
        <v/>
      </c>
      <c r="G8" s="13">
        <f>IF(ABS(B8-S)&lt;K*0.001,"&lt;-- harga S sekarang","")</f>
        <v/>
      </c>
    </row>
    <row r="9">
      <c r="B9" s="19">
        <f>K*(0.5+3/40)</f>
        <v/>
      </c>
      <c r="C9" s="32">
        <f>MAX(B9-K,0)</f>
        <v/>
      </c>
      <c r="D9" s="19">
        <f>C9-CallPx</f>
        <v/>
      </c>
      <c r="E9" s="33">
        <f>MAX(K-B9,0)</f>
        <v/>
      </c>
      <c r="F9" s="19">
        <f>E9-PutPx</f>
        <v/>
      </c>
      <c r="G9" s="13">
        <f>IF(ABS(B9-S)&lt;K*0.001,"&lt;-- harga S sekarang","")</f>
        <v/>
      </c>
    </row>
    <row r="10">
      <c r="B10" s="19">
        <f>K*(0.5+4/40)</f>
        <v/>
      </c>
      <c r="C10" s="32">
        <f>MAX(B10-K,0)</f>
        <v/>
      </c>
      <c r="D10" s="19">
        <f>C10-CallPx</f>
        <v/>
      </c>
      <c r="E10" s="33">
        <f>MAX(K-B10,0)</f>
        <v/>
      </c>
      <c r="F10" s="19">
        <f>E10-PutPx</f>
        <v/>
      </c>
      <c r="G10" s="13">
        <f>IF(ABS(B10-S)&lt;K*0.001,"&lt;-- harga S sekarang","")</f>
        <v/>
      </c>
    </row>
    <row r="11">
      <c r="B11" s="19">
        <f>K*(0.5+5/40)</f>
        <v/>
      </c>
      <c r="C11" s="32">
        <f>MAX(B11-K,0)</f>
        <v/>
      </c>
      <c r="D11" s="19">
        <f>C11-CallPx</f>
        <v/>
      </c>
      <c r="E11" s="33">
        <f>MAX(K-B11,0)</f>
        <v/>
      </c>
      <c r="F11" s="19">
        <f>E11-PutPx</f>
        <v/>
      </c>
      <c r="G11" s="13">
        <f>IF(ABS(B11-S)&lt;K*0.001,"&lt;-- harga S sekarang","")</f>
        <v/>
      </c>
    </row>
    <row r="12">
      <c r="B12" s="19">
        <f>K*(0.5+6/40)</f>
        <v/>
      </c>
      <c r="C12" s="32">
        <f>MAX(B12-K,0)</f>
        <v/>
      </c>
      <c r="D12" s="19">
        <f>C12-CallPx</f>
        <v/>
      </c>
      <c r="E12" s="33">
        <f>MAX(K-B12,0)</f>
        <v/>
      </c>
      <c r="F12" s="19">
        <f>E12-PutPx</f>
        <v/>
      </c>
      <c r="G12" s="13">
        <f>IF(ABS(B12-S)&lt;K*0.001,"&lt;-- harga S sekarang","")</f>
        <v/>
      </c>
    </row>
    <row r="13">
      <c r="B13" s="19">
        <f>K*(0.5+7/40)</f>
        <v/>
      </c>
      <c r="C13" s="32">
        <f>MAX(B13-K,0)</f>
        <v/>
      </c>
      <c r="D13" s="19">
        <f>C13-CallPx</f>
        <v/>
      </c>
      <c r="E13" s="33">
        <f>MAX(K-B13,0)</f>
        <v/>
      </c>
      <c r="F13" s="19">
        <f>E13-PutPx</f>
        <v/>
      </c>
      <c r="G13" s="13">
        <f>IF(ABS(B13-S)&lt;K*0.001,"&lt;-- harga S sekarang","")</f>
        <v/>
      </c>
    </row>
    <row r="14">
      <c r="B14" s="19">
        <f>K*(0.5+8/40)</f>
        <v/>
      </c>
      <c r="C14" s="32">
        <f>MAX(B14-K,0)</f>
        <v/>
      </c>
      <c r="D14" s="19">
        <f>C14-CallPx</f>
        <v/>
      </c>
      <c r="E14" s="33">
        <f>MAX(K-B14,0)</f>
        <v/>
      </c>
      <c r="F14" s="19">
        <f>E14-PutPx</f>
        <v/>
      </c>
      <c r="G14" s="13">
        <f>IF(ABS(B14-S)&lt;K*0.001,"&lt;-- harga S sekarang","")</f>
        <v/>
      </c>
    </row>
    <row r="15">
      <c r="B15" s="19">
        <f>K*(0.5+9/40)</f>
        <v/>
      </c>
      <c r="C15" s="32">
        <f>MAX(B15-K,0)</f>
        <v/>
      </c>
      <c r="D15" s="19">
        <f>C15-CallPx</f>
        <v/>
      </c>
      <c r="E15" s="33">
        <f>MAX(K-B15,0)</f>
        <v/>
      </c>
      <c r="F15" s="19">
        <f>E15-PutPx</f>
        <v/>
      </c>
      <c r="G15" s="13">
        <f>IF(ABS(B15-S)&lt;K*0.001,"&lt;-- harga S sekarang","")</f>
        <v/>
      </c>
    </row>
    <row r="16">
      <c r="B16" s="19">
        <f>K*(0.5+10/40)</f>
        <v/>
      </c>
      <c r="C16" s="32">
        <f>MAX(B16-K,0)</f>
        <v/>
      </c>
      <c r="D16" s="19">
        <f>C16-CallPx</f>
        <v/>
      </c>
      <c r="E16" s="33">
        <f>MAX(K-B16,0)</f>
        <v/>
      </c>
      <c r="F16" s="19">
        <f>E16-PutPx</f>
        <v/>
      </c>
      <c r="G16" s="13">
        <f>IF(ABS(B16-S)&lt;K*0.001,"&lt;-- harga S sekarang","")</f>
        <v/>
      </c>
    </row>
    <row r="17">
      <c r="B17" s="19">
        <f>K*(0.5+11/40)</f>
        <v/>
      </c>
      <c r="C17" s="32">
        <f>MAX(B17-K,0)</f>
        <v/>
      </c>
      <c r="D17" s="19">
        <f>C17-CallPx</f>
        <v/>
      </c>
      <c r="E17" s="33">
        <f>MAX(K-B17,0)</f>
        <v/>
      </c>
      <c r="F17" s="19">
        <f>E17-PutPx</f>
        <v/>
      </c>
      <c r="G17" s="13">
        <f>IF(ABS(B17-S)&lt;K*0.001,"&lt;-- harga S sekarang","")</f>
        <v/>
      </c>
    </row>
    <row r="18">
      <c r="B18" s="19">
        <f>K*(0.5+12/40)</f>
        <v/>
      </c>
      <c r="C18" s="32">
        <f>MAX(B18-K,0)</f>
        <v/>
      </c>
      <c r="D18" s="19">
        <f>C18-CallPx</f>
        <v/>
      </c>
      <c r="E18" s="33">
        <f>MAX(K-B18,0)</f>
        <v/>
      </c>
      <c r="F18" s="19">
        <f>E18-PutPx</f>
        <v/>
      </c>
      <c r="G18" s="13">
        <f>IF(ABS(B18-S)&lt;K*0.001,"&lt;-- harga S sekarang","")</f>
        <v/>
      </c>
    </row>
    <row r="19">
      <c r="B19" s="19">
        <f>K*(0.5+13/40)</f>
        <v/>
      </c>
      <c r="C19" s="32">
        <f>MAX(B19-K,0)</f>
        <v/>
      </c>
      <c r="D19" s="19">
        <f>C19-CallPx</f>
        <v/>
      </c>
      <c r="E19" s="33">
        <f>MAX(K-B19,0)</f>
        <v/>
      </c>
      <c r="F19" s="19">
        <f>E19-PutPx</f>
        <v/>
      </c>
      <c r="G19" s="13">
        <f>IF(ABS(B19-S)&lt;K*0.001,"&lt;-- harga S sekarang","")</f>
        <v/>
      </c>
    </row>
    <row r="20">
      <c r="B20" s="19">
        <f>K*(0.5+14/40)</f>
        <v/>
      </c>
      <c r="C20" s="32">
        <f>MAX(B20-K,0)</f>
        <v/>
      </c>
      <c r="D20" s="19">
        <f>C20-CallPx</f>
        <v/>
      </c>
      <c r="E20" s="33">
        <f>MAX(K-B20,0)</f>
        <v/>
      </c>
      <c r="F20" s="19">
        <f>E20-PutPx</f>
        <v/>
      </c>
      <c r="G20" s="13">
        <f>IF(ABS(B20-S)&lt;K*0.001,"&lt;-- harga S sekarang","")</f>
        <v/>
      </c>
    </row>
    <row r="21">
      <c r="B21" s="19">
        <f>K*(0.5+15/40)</f>
        <v/>
      </c>
      <c r="C21" s="32">
        <f>MAX(B21-K,0)</f>
        <v/>
      </c>
      <c r="D21" s="19">
        <f>C21-CallPx</f>
        <v/>
      </c>
      <c r="E21" s="33">
        <f>MAX(K-B21,0)</f>
        <v/>
      </c>
      <c r="F21" s="19">
        <f>E21-PutPx</f>
        <v/>
      </c>
      <c r="G21" s="13">
        <f>IF(ABS(B21-S)&lt;K*0.001,"&lt;-- harga S sekarang","")</f>
        <v/>
      </c>
    </row>
    <row r="22">
      <c r="B22" s="19">
        <f>K*(0.5+16/40)</f>
        <v/>
      </c>
      <c r="C22" s="32">
        <f>MAX(B22-K,0)</f>
        <v/>
      </c>
      <c r="D22" s="19">
        <f>C22-CallPx</f>
        <v/>
      </c>
      <c r="E22" s="33">
        <f>MAX(K-B22,0)</f>
        <v/>
      </c>
      <c r="F22" s="19">
        <f>E22-PutPx</f>
        <v/>
      </c>
      <c r="G22" s="13">
        <f>IF(ABS(B22-S)&lt;K*0.001,"&lt;-- harga S sekarang","")</f>
        <v/>
      </c>
    </row>
    <row r="23">
      <c r="B23" s="19">
        <f>K*(0.5+17/40)</f>
        <v/>
      </c>
      <c r="C23" s="32">
        <f>MAX(B23-K,0)</f>
        <v/>
      </c>
      <c r="D23" s="19">
        <f>C23-CallPx</f>
        <v/>
      </c>
      <c r="E23" s="33">
        <f>MAX(K-B23,0)</f>
        <v/>
      </c>
      <c r="F23" s="19">
        <f>E23-PutPx</f>
        <v/>
      </c>
      <c r="G23" s="13">
        <f>IF(ABS(B23-S)&lt;K*0.001,"&lt;-- harga S sekarang","")</f>
        <v/>
      </c>
    </row>
    <row r="24">
      <c r="B24" s="19">
        <f>K*(0.5+18/40)</f>
        <v/>
      </c>
      <c r="C24" s="32">
        <f>MAX(B24-K,0)</f>
        <v/>
      </c>
      <c r="D24" s="19">
        <f>C24-CallPx</f>
        <v/>
      </c>
      <c r="E24" s="33">
        <f>MAX(K-B24,0)</f>
        <v/>
      </c>
      <c r="F24" s="19">
        <f>E24-PutPx</f>
        <v/>
      </c>
      <c r="G24" s="13">
        <f>IF(ABS(B24-S)&lt;K*0.001,"&lt;-- harga S sekarang","")</f>
        <v/>
      </c>
    </row>
    <row r="25">
      <c r="B25" s="19">
        <f>K*(0.5+19/40)</f>
        <v/>
      </c>
      <c r="C25" s="32">
        <f>MAX(B25-K,0)</f>
        <v/>
      </c>
      <c r="D25" s="19">
        <f>C25-CallPx</f>
        <v/>
      </c>
      <c r="E25" s="33">
        <f>MAX(K-B25,0)</f>
        <v/>
      </c>
      <c r="F25" s="19">
        <f>E25-PutPx</f>
        <v/>
      </c>
      <c r="G25" s="13">
        <f>IF(ABS(B25-S)&lt;K*0.001,"&lt;-- harga S sekarang","")</f>
        <v/>
      </c>
    </row>
    <row r="26">
      <c r="B26" s="19">
        <f>K*(0.5+20/40)</f>
        <v/>
      </c>
      <c r="C26" s="32">
        <f>MAX(B26-K,0)</f>
        <v/>
      </c>
      <c r="D26" s="19">
        <f>C26-CallPx</f>
        <v/>
      </c>
      <c r="E26" s="33">
        <f>MAX(K-B26,0)</f>
        <v/>
      </c>
      <c r="F26" s="19">
        <f>E26-PutPx</f>
        <v/>
      </c>
      <c r="G26" s="13">
        <f>IF(ABS(B26-S)&lt;K*0.001,"&lt;-- harga S sekarang","")</f>
        <v/>
      </c>
    </row>
    <row r="27">
      <c r="B27" s="19">
        <f>K*(0.5+21/40)</f>
        <v/>
      </c>
      <c r="C27" s="32">
        <f>MAX(B27-K,0)</f>
        <v/>
      </c>
      <c r="D27" s="19">
        <f>C27-CallPx</f>
        <v/>
      </c>
      <c r="E27" s="33">
        <f>MAX(K-B27,0)</f>
        <v/>
      </c>
      <c r="F27" s="19">
        <f>E27-PutPx</f>
        <v/>
      </c>
      <c r="G27" s="13">
        <f>IF(ABS(B27-S)&lt;K*0.001,"&lt;-- harga S sekarang","")</f>
        <v/>
      </c>
    </row>
    <row r="28">
      <c r="B28" s="19">
        <f>K*(0.5+22/40)</f>
        <v/>
      </c>
      <c r="C28" s="32">
        <f>MAX(B28-K,0)</f>
        <v/>
      </c>
      <c r="D28" s="19">
        <f>C28-CallPx</f>
        <v/>
      </c>
      <c r="E28" s="33">
        <f>MAX(K-B28,0)</f>
        <v/>
      </c>
      <c r="F28" s="19">
        <f>E28-PutPx</f>
        <v/>
      </c>
      <c r="G28" s="13">
        <f>IF(ABS(B28-S)&lt;K*0.001,"&lt;-- harga S sekarang","")</f>
        <v/>
      </c>
    </row>
    <row r="29">
      <c r="B29" s="19">
        <f>K*(0.5+23/40)</f>
        <v/>
      </c>
      <c r="C29" s="32">
        <f>MAX(B29-K,0)</f>
        <v/>
      </c>
      <c r="D29" s="19">
        <f>C29-CallPx</f>
        <v/>
      </c>
      <c r="E29" s="33">
        <f>MAX(K-B29,0)</f>
        <v/>
      </c>
      <c r="F29" s="19">
        <f>E29-PutPx</f>
        <v/>
      </c>
      <c r="G29" s="13">
        <f>IF(ABS(B29-S)&lt;K*0.001,"&lt;-- harga S sekarang","")</f>
        <v/>
      </c>
    </row>
    <row r="30">
      <c r="B30" s="19">
        <f>K*(0.5+24/40)</f>
        <v/>
      </c>
      <c r="C30" s="32">
        <f>MAX(B30-K,0)</f>
        <v/>
      </c>
      <c r="D30" s="19">
        <f>C30-CallPx</f>
        <v/>
      </c>
      <c r="E30" s="33">
        <f>MAX(K-B30,0)</f>
        <v/>
      </c>
      <c r="F30" s="19">
        <f>E30-PutPx</f>
        <v/>
      </c>
      <c r="G30" s="13">
        <f>IF(ABS(B30-S)&lt;K*0.001,"&lt;-- harga S sekarang","")</f>
        <v/>
      </c>
    </row>
    <row r="31">
      <c r="B31" s="19">
        <f>K*(0.5+25/40)</f>
        <v/>
      </c>
      <c r="C31" s="32">
        <f>MAX(B31-K,0)</f>
        <v/>
      </c>
      <c r="D31" s="19">
        <f>C31-CallPx</f>
        <v/>
      </c>
      <c r="E31" s="33">
        <f>MAX(K-B31,0)</f>
        <v/>
      </c>
      <c r="F31" s="19">
        <f>E31-PutPx</f>
        <v/>
      </c>
      <c r="G31" s="13">
        <f>IF(ABS(B31-S)&lt;K*0.001,"&lt;-- harga S sekarang","")</f>
        <v/>
      </c>
    </row>
    <row r="32">
      <c r="B32" s="19">
        <f>K*(0.5+26/40)</f>
        <v/>
      </c>
      <c r="C32" s="32">
        <f>MAX(B32-K,0)</f>
        <v/>
      </c>
      <c r="D32" s="19">
        <f>C32-CallPx</f>
        <v/>
      </c>
      <c r="E32" s="33">
        <f>MAX(K-B32,0)</f>
        <v/>
      </c>
      <c r="F32" s="19">
        <f>E32-PutPx</f>
        <v/>
      </c>
      <c r="G32" s="13">
        <f>IF(ABS(B32-S)&lt;K*0.001,"&lt;-- harga S sekarang","")</f>
        <v/>
      </c>
    </row>
    <row r="33">
      <c r="B33" s="19">
        <f>K*(0.5+27/40)</f>
        <v/>
      </c>
      <c r="C33" s="32">
        <f>MAX(B33-K,0)</f>
        <v/>
      </c>
      <c r="D33" s="19">
        <f>C33-CallPx</f>
        <v/>
      </c>
      <c r="E33" s="33">
        <f>MAX(K-B33,0)</f>
        <v/>
      </c>
      <c r="F33" s="19">
        <f>E33-PutPx</f>
        <v/>
      </c>
      <c r="G33" s="13">
        <f>IF(ABS(B33-S)&lt;K*0.001,"&lt;-- harga S sekarang","")</f>
        <v/>
      </c>
    </row>
    <row r="34">
      <c r="B34" s="19">
        <f>K*(0.5+28/40)</f>
        <v/>
      </c>
      <c r="C34" s="32">
        <f>MAX(B34-K,0)</f>
        <v/>
      </c>
      <c r="D34" s="19">
        <f>C34-CallPx</f>
        <v/>
      </c>
      <c r="E34" s="33">
        <f>MAX(K-B34,0)</f>
        <v/>
      </c>
      <c r="F34" s="19">
        <f>E34-PutPx</f>
        <v/>
      </c>
      <c r="G34" s="13">
        <f>IF(ABS(B34-S)&lt;K*0.001,"&lt;-- harga S sekarang","")</f>
        <v/>
      </c>
    </row>
    <row r="35">
      <c r="B35" s="19">
        <f>K*(0.5+29/40)</f>
        <v/>
      </c>
      <c r="C35" s="32">
        <f>MAX(B35-K,0)</f>
        <v/>
      </c>
      <c r="D35" s="19">
        <f>C35-CallPx</f>
        <v/>
      </c>
      <c r="E35" s="33">
        <f>MAX(K-B35,0)</f>
        <v/>
      </c>
      <c r="F35" s="19">
        <f>E35-PutPx</f>
        <v/>
      </c>
      <c r="G35" s="13">
        <f>IF(ABS(B35-S)&lt;K*0.001,"&lt;-- harga S sekarang","")</f>
        <v/>
      </c>
    </row>
    <row r="36">
      <c r="B36" s="19">
        <f>K*(0.5+30/40)</f>
        <v/>
      </c>
      <c r="C36" s="32">
        <f>MAX(B36-K,0)</f>
        <v/>
      </c>
      <c r="D36" s="19">
        <f>C36-CallPx</f>
        <v/>
      </c>
      <c r="E36" s="33">
        <f>MAX(K-B36,0)</f>
        <v/>
      </c>
      <c r="F36" s="19">
        <f>E36-PutPx</f>
        <v/>
      </c>
      <c r="G36" s="13">
        <f>IF(ABS(B36-S)&lt;K*0.001,"&lt;-- harga S sekarang","")</f>
        <v/>
      </c>
    </row>
    <row r="37">
      <c r="B37" s="19">
        <f>K*(0.5+31/40)</f>
        <v/>
      </c>
      <c r="C37" s="32">
        <f>MAX(B37-K,0)</f>
        <v/>
      </c>
      <c r="D37" s="19">
        <f>C37-CallPx</f>
        <v/>
      </c>
      <c r="E37" s="33">
        <f>MAX(K-B37,0)</f>
        <v/>
      </c>
      <c r="F37" s="19">
        <f>E37-PutPx</f>
        <v/>
      </c>
      <c r="G37" s="13">
        <f>IF(ABS(B37-S)&lt;K*0.001,"&lt;-- harga S sekarang","")</f>
        <v/>
      </c>
    </row>
    <row r="38">
      <c r="B38" s="19">
        <f>K*(0.5+32/40)</f>
        <v/>
      </c>
      <c r="C38" s="32">
        <f>MAX(B38-K,0)</f>
        <v/>
      </c>
      <c r="D38" s="19">
        <f>C38-CallPx</f>
        <v/>
      </c>
      <c r="E38" s="33">
        <f>MAX(K-B38,0)</f>
        <v/>
      </c>
      <c r="F38" s="19">
        <f>E38-PutPx</f>
        <v/>
      </c>
      <c r="G38" s="13">
        <f>IF(ABS(B38-S)&lt;K*0.001,"&lt;-- harga S sekarang","")</f>
        <v/>
      </c>
    </row>
    <row r="39">
      <c r="B39" s="19">
        <f>K*(0.5+33/40)</f>
        <v/>
      </c>
      <c r="C39" s="32">
        <f>MAX(B39-K,0)</f>
        <v/>
      </c>
      <c r="D39" s="19">
        <f>C39-CallPx</f>
        <v/>
      </c>
      <c r="E39" s="33">
        <f>MAX(K-B39,0)</f>
        <v/>
      </c>
      <c r="F39" s="19">
        <f>E39-PutPx</f>
        <v/>
      </c>
      <c r="G39" s="13">
        <f>IF(ABS(B39-S)&lt;K*0.001,"&lt;-- harga S sekarang","")</f>
        <v/>
      </c>
    </row>
    <row r="40">
      <c r="B40" s="19">
        <f>K*(0.5+34/40)</f>
        <v/>
      </c>
      <c r="C40" s="32">
        <f>MAX(B40-K,0)</f>
        <v/>
      </c>
      <c r="D40" s="19">
        <f>C40-CallPx</f>
        <v/>
      </c>
      <c r="E40" s="33">
        <f>MAX(K-B40,0)</f>
        <v/>
      </c>
      <c r="F40" s="19">
        <f>E40-PutPx</f>
        <v/>
      </c>
      <c r="G40" s="13">
        <f>IF(ABS(B40-S)&lt;K*0.001,"&lt;-- harga S sekarang","")</f>
        <v/>
      </c>
    </row>
    <row r="41">
      <c r="B41" s="19">
        <f>K*(0.5+35/40)</f>
        <v/>
      </c>
      <c r="C41" s="32">
        <f>MAX(B41-K,0)</f>
        <v/>
      </c>
      <c r="D41" s="19">
        <f>C41-CallPx</f>
        <v/>
      </c>
      <c r="E41" s="33">
        <f>MAX(K-B41,0)</f>
        <v/>
      </c>
      <c r="F41" s="19">
        <f>E41-PutPx</f>
        <v/>
      </c>
      <c r="G41" s="13">
        <f>IF(ABS(B41-S)&lt;K*0.001,"&lt;-- harga S sekarang","")</f>
        <v/>
      </c>
    </row>
    <row r="42">
      <c r="B42" s="19">
        <f>K*(0.5+36/40)</f>
        <v/>
      </c>
      <c r="C42" s="32">
        <f>MAX(B42-K,0)</f>
        <v/>
      </c>
      <c r="D42" s="19">
        <f>C42-CallPx</f>
        <v/>
      </c>
      <c r="E42" s="33">
        <f>MAX(K-B42,0)</f>
        <v/>
      </c>
      <c r="F42" s="19">
        <f>E42-PutPx</f>
        <v/>
      </c>
      <c r="G42" s="13">
        <f>IF(ABS(B42-S)&lt;K*0.001,"&lt;-- harga S sekarang","")</f>
        <v/>
      </c>
    </row>
    <row r="43">
      <c r="B43" s="19">
        <f>K*(0.5+37/40)</f>
        <v/>
      </c>
      <c r="C43" s="32">
        <f>MAX(B43-K,0)</f>
        <v/>
      </c>
      <c r="D43" s="19">
        <f>C43-CallPx</f>
        <v/>
      </c>
      <c r="E43" s="33">
        <f>MAX(K-B43,0)</f>
        <v/>
      </c>
      <c r="F43" s="19">
        <f>E43-PutPx</f>
        <v/>
      </c>
      <c r="G43" s="13">
        <f>IF(ABS(B43-S)&lt;K*0.001,"&lt;-- harga S sekarang","")</f>
        <v/>
      </c>
    </row>
    <row r="44">
      <c r="B44" s="19">
        <f>K*(0.5+38/40)</f>
        <v/>
      </c>
      <c r="C44" s="32">
        <f>MAX(B44-K,0)</f>
        <v/>
      </c>
      <c r="D44" s="19">
        <f>C44-CallPx</f>
        <v/>
      </c>
      <c r="E44" s="33">
        <f>MAX(K-B44,0)</f>
        <v/>
      </c>
      <c r="F44" s="19">
        <f>E44-PutPx</f>
        <v/>
      </c>
      <c r="G44" s="13">
        <f>IF(ABS(B44-S)&lt;K*0.001,"&lt;-- harga S sekarang","")</f>
        <v/>
      </c>
    </row>
    <row r="45">
      <c r="B45" s="19">
        <f>K*(0.5+39/40)</f>
        <v/>
      </c>
      <c r="C45" s="32">
        <f>MAX(B45-K,0)</f>
        <v/>
      </c>
      <c r="D45" s="19">
        <f>C45-CallPx</f>
        <v/>
      </c>
      <c r="E45" s="33">
        <f>MAX(K-B45,0)</f>
        <v/>
      </c>
      <c r="F45" s="19">
        <f>E45-PutPx</f>
        <v/>
      </c>
      <c r="G45" s="13">
        <f>IF(ABS(B45-S)&lt;K*0.001,"&lt;-- harga S sekarang","")</f>
        <v/>
      </c>
    </row>
    <row r="46">
      <c r="B46" s="19">
        <f>K*(0.5+40/40)</f>
        <v/>
      </c>
      <c r="C46" s="32">
        <f>MAX(B46-K,0)</f>
        <v/>
      </c>
      <c r="D46" s="19">
        <f>C46-CallPx</f>
        <v/>
      </c>
      <c r="E46" s="33">
        <f>MAX(K-B46,0)</f>
        <v/>
      </c>
      <c r="F46" s="19">
        <f>E46-PutPx</f>
        <v/>
      </c>
      <c r="G46" s="13">
        <f>IF(ABS(B46-S)&lt;K*0.001,"&lt;-- harga S sekarang","")</f>
        <v/>
      </c>
    </row>
    <row r="48">
      <c r="B48" s="34" t="inlineStr">
        <is>
          <t>Breakeven call = K + premium call.   Breakeven put = K - premium put.   Lihat titik di mana laba net = 0.</t>
        </is>
      </c>
    </row>
  </sheetData>
  <mergeCells count="3">
    <mergeCell ref="B3:G3"/>
    <mergeCell ref="B2:G2"/>
    <mergeCell ref="B48:G48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C3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82" customWidth="1" min="3" max="3"/>
  </cols>
  <sheetData>
    <row r="2" ht="28" customHeight="1">
      <c r="B2" s="1" t="inlineStr">
        <is>
          <t>RINGKASAN RUMUS &amp; KONVENSI</t>
        </is>
      </c>
    </row>
    <row r="4" ht="22" customHeight="1">
      <c r="B4" s="8" t="inlineStr">
        <is>
          <t>RUMUS INDUK</t>
        </is>
      </c>
    </row>
    <row r="5">
      <c r="B5" s="4" t="inlineStr">
        <is>
          <t>Harga call</t>
        </is>
      </c>
      <c r="C5" s="5" t="inlineStr">
        <is>
          <t>C = S * N(d1) - K * e^(-rT) * N(d2)</t>
        </is>
      </c>
    </row>
    <row r="6">
      <c r="B6" s="4" t="inlineStr">
        <is>
          <t>Harga put</t>
        </is>
      </c>
      <c r="C6" s="5" t="inlineStr">
        <is>
          <t>P = K * e^(-rT) * N(-d2) - S * N(-d1)</t>
        </is>
      </c>
    </row>
    <row r="7">
      <c r="B7" s="4" t="inlineStr">
        <is>
          <t>d1</t>
        </is>
      </c>
      <c r="C7" s="5" t="inlineStr">
        <is>
          <t>d1 = [ ln(S/K) + (r + sigma^2/2)*T ] / ( sigma * sqrt(T) )</t>
        </is>
      </c>
    </row>
    <row r="8">
      <c r="B8" s="4" t="inlineStr">
        <is>
          <t>d2</t>
        </is>
      </c>
      <c r="C8" s="5" t="inlineStr">
        <is>
          <t>d2 = d1 - sigma*sqrt(T)</t>
        </is>
      </c>
    </row>
    <row r="9">
      <c r="B9" s="4" t="inlineStr">
        <is>
          <t>Paritas</t>
        </is>
      </c>
      <c r="C9" s="5" t="inlineStr">
        <is>
          <t>C - P = S - K*e^(-rT)</t>
        </is>
      </c>
    </row>
    <row r="11" ht="22" customHeight="1">
      <c r="B11" s="8" t="inlineStr">
        <is>
          <t>FUNGSI EXCEL</t>
        </is>
      </c>
    </row>
    <row r="12">
      <c r="B12" s="4" t="inlineStr">
        <is>
          <t>CDF normal</t>
        </is>
      </c>
      <c r="C12" s="5" t="inlineStr">
        <is>
          <t>NORM.S.DIST(d, TRUE)   &lt;-  bentuk modern dari NORMSDIST(d)</t>
        </is>
      </c>
    </row>
    <row r="13">
      <c r="B13" s="4" t="inlineStr">
        <is>
          <t>PDF normal</t>
        </is>
      </c>
      <c r="C13" s="5" t="inlineStr">
        <is>
          <t>NORM.S.DIST(d, FALSE)  &lt;-  fungsi kepadatan, dipakai di gamma/theta/vega</t>
        </is>
      </c>
    </row>
    <row r="14">
      <c r="B14" s="4" t="inlineStr">
        <is>
          <t>Diskonto</t>
        </is>
      </c>
      <c r="C14" s="5" t="inlineStr">
        <is>
          <t>EXP(-r*T)   &lt;-  faktor PV kontinu</t>
        </is>
      </c>
    </row>
    <row r="15">
      <c r="B15" s="4" t="inlineStr">
        <is>
          <t>Logaritma</t>
        </is>
      </c>
      <c r="C15" s="5" t="inlineStr">
        <is>
          <t>LN(S/K)</t>
        </is>
      </c>
    </row>
    <row r="17" ht="22" customHeight="1">
      <c r="B17" s="8" t="inlineStr">
        <is>
          <t>GREEK</t>
        </is>
      </c>
    </row>
    <row r="18">
      <c r="B18" s="4" t="inlineStr">
        <is>
          <t>Delta call</t>
        </is>
      </c>
      <c r="C18" s="5" t="inlineStr">
        <is>
          <t>N(d1)</t>
        </is>
      </c>
    </row>
    <row r="19">
      <c r="B19" s="4" t="inlineStr">
        <is>
          <t>Delta put</t>
        </is>
      </c>
      <c r="C19" s="5" t="inlineStr">
        <is>
          <t>N(d1) - 1</t>
        </is>
      </c>
    </row>
    <row r="20">
      <c r="B20" s="4" t="inlineStr">
        <is>
          <t>Gamma</t>
        </is>
      </c>
      <c r="C20" s="5" t="inlineStr">
        <is>
          <t>N'(d1) / [ S * sigma * sqrt(T) ]   (sama utk call &amp; put)</t>
        </is>
      </c>
    </row>
    <row r="21">
      <c r="B21" s="4" t="inlineStr">
        <is>
          <t>Theta call/th</t>
        </is>
      </c>
      <c r="C21" s="5" t="inlineStr">
        <is>
          <t>[-S*N'(d1)*sigma/(2*sqrt(T)) - r*K*e^-rT*N(d2)] / 365  (per hari)</t>
        </is>
      </c>
    </row>
    <row r="22">
      <c r="B22" s="4" t="inlineStr">
        <is>
          <t>Vega</t>
        </is>
      </c>
      <c r="C22" s="5" t="inlineStr">
        <is>
          <t>S * N'(d1) * sqrt(T) / 100   (per 1% sigma)</t>
        </is>
      </c>
    </row>
    <row r="23">
      <c r="B23" s="4" t="inlineStr">
        <is>
          <t>Rho call</t>
        </is>
      </c>
      <c r="C23" s="5" t="inlineStr">
        <is>
          <t>K * T * e^-rT * N(d2) / 100   (per 1% r)</t>
        </is>
      </c>
    </row>
    <row r="25" ht="22" customHeight="1">
      <c r="B25" s="8" t="inlineStr">
        <is>
          <t>KONVENSI INPUT</t>
        </is>
      </c>
    </row>
    <row r="26">
      <c r="B26" s="4" t="inlineStr">
        <is>
          <t>Tenor T</t>
        </is>
      </c>
      <c r="C26" s="5" t="inlineStr">
        <is>
          <t>T dalam TAHUN. Konversi: hari/365 (kalender) atau hari/252 (trading).</t>
        </is>
      </c>
    </row>
    <row r="27">
      <c r="B27" s="4" t="inlineStr">
        <is>
          <t>Volatilitas</t>
        </is>
      </c>
      <c r="C27" s="5" t="inlineStr">
        <is>
          <t>sigma TAHUNAN. Bila punya deviasi harian, kalikan sqrt(252).</t>
        </is>
      </c>
    </row>
    <row r="28">
      <c r="B28" s="4" t="inlineStr">
        <is>
          <t>Suku bunga</t>
        </is>
      </c>
      <c r="C28" s="5" t="inlineStr">
        <is>
          <t>r TAHUNAN kontinu. SUN 10Y BEI proxy untuk risk-free di Indonesia.</t>
        </is>
      </c>
    </row>
    <row r="29">
      <c r="B29" s="4" t="inlineStr">
        <is>
          <t>Tanpa dividen</t>
        </is>
      </c>
      <c r="C29" s="5" t="inlineStr">
        <is>
          <t>BSM murni mengabaikan dividen. Untuk saham dividen: pakai S*e^(-qT).</t>
        </is>
      </c>
    </row>
    <row r="31" ht="22" customHeight="1">
      <c r="B31" s="8" t="inlineStr">
        <is>
          <t>ASUMSI &amp; BATASAN</t>
        </is>
      </c>
    </row>
    <row r="32">
      <c r="B32" s="4" t="inlineStr">
        <is>
          <t>1. Opsi Eropa</t>
        </is>
      </c>
      <c r="C32" s="5" t="inlineStr">
        <is>
          <t>BSM murni utk opsi Eropa. Opsi Amerika: pakai pohon binomial.</t>
        </is>
      </c>
    </row>
    <row r="33">
      <c r="B33" s="4" t="inlineStr">
        <is>
          <t>2. Vol konstan</t>
        </is>
      </c>
      <c r="C33" s="5" t="inlineStr">
        <is>
          <t>Volatilitas diasumsikan tetap. Nyata: volatility smile/skew.</t>
        </is>
      </c>
    </row>
    <row r="34">
      <c r="B34" s="4" t="inlineStr">
        <is>
          <t>3. Return normal</t>
        </is>
      </c>
      <c r="C34" s="5" t="inlineStr">
        <is>
          <t>Log-return diasumsikan normal. Nyata: ekor tebal (fat tails).</t>
        </is>
      </c>
    </row>
    <row r="35">
      <c r="B35" s="4" t="inlineStr">
        <is>
          <t>4. Tanpa biaya</t>
        </is>
      </c>
      <c r="C35" s="5" t="inlineStr">
        <is>
          <t>Tidak ada biaya transaksi; hedging kontinu dimungkinkan.</t>
        </is>
      </c>
    </row>
    <row r="36">
      <c r="B36" s="4" t="inlineStr">
        <is>
          <t>5. Pasar BEI</t>
        </is>
      </c>
      <c r="C36" s="5" t="inlineStr">
        <is>
          <t>Opsi saham tunggal BEI belum likuid. Ilustrasi ini pedagogis.</t>
        </is>
      </c>
    </row>
    <row r="39">
      <c r="B39" s="10" t="inlineStr">
        <is>
          <t>Referensi: Black, Fischer &amp; Myron Scholes (1973). Merton (1973). Standar textbook (Hull).</t>
        </is>
      </c>
    </row>
  </sheetData>
  <mergeCells count="7">
    <mergeCell ref="B39:C39"/>
    <mergeCell ref="B2:C2"/>
    <mergeCell ref="B25:C25"/>
    <mergeCell ref="B11:C11"/>
    <mergeCell ref="B31:C31"/>
    <mergeCell ref="B17:C17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2026-07-18T15:50:44Z</dcterms:created>
  <dcterms:modified xmlns:dcterms="http://purl.org/dc/terms/" xmlns:xsi="http://www.w3.org/2001/XMLSchema-instance" xsi:type="dcterms:W3CDTF">2026-07-18T15:50:44Z</dcterms:modified>
</cp:coreProperties>
</file>